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00" windowHeight="11780" tabRatio="500" activeTab="1"/>
  </bookViews>
  <sheets>
    <sheet name="Value Distribution DEF" sheetId="1" r:id="rId1"/>
    <sheet name="Actual Farmer Income" sheetId="2" r:id="rId2"/>
  </sheets>
  <definedNames>
    <definedName name="OLE_LINK30" localSheetId="0">'Value Distribution DEF'!$G$86</definedName>
  </definedNames>
  <calcPr fullCalcOnLoad="1"/>
</workbook>
</file>

<file path=xl/comments1.xml><?xml version="1.0" encoding="utf-8"?>
<comments xmlns="http://schemas.openxmlformats.org/spreadsheetml/2006/main">
  <authors>
    <author>Antonie Fountain</author>
  </authors>
  <commentList>
    <comment ref="B2" authorId="0">
      <text>
        <r>
          <rPr>
            <sz val="9"/>
            <rFont val="Calibri"/>
            <family val="2"/>
          </rPr>
          <t>'The first stages cocoa is just a part of the product chocolate</t>
        </r>
      </text>
    </comment>
    <comment ref="B11" authorId="0">
      <text>
        <r>
          <rPr>
            <sz val="12"/>
            <rFont val="Calibri"/>
            <family val="2"/>
          </rPr>
          <t>From here, cocoa is no longer the product, but an ingredient within a larger product, mostly chocolate.</t>
        </r>
      </text>
    </comment>
    <comment ref="B14" authorId="0">
      <text>
        <r>
          <rPr>
            <sz val="9"/>
            <rFont val="Calibri"/>
            <family val="2"/>
          </rPr>
          <t>ICCO 2012/2013</t>
        </r>
      </text>
    </comment>
    <comment ref="B44" authorId="0">
      <text>
        <r>
          <rPr>
            <sz val="9"/>
            <rFont val="Calibri"/>
            <family val="2"/>
          </rPr>
          <t>per tonne</t>
        </r>
      </text>
    </comment>
    <comment ref="E44" authorId="0">
      <text>
        <r>
          <rPr>
            <b/>
            <sz val="9"/>
            <rFont val="Calibri"/>
            <family val="2"/>
          </rPr>
          <t>Source: Fairtrade Cocoa in West Africa 2014</t>
        </r>
      </text>
    </comment>
    <comment ref="H44" authorId="0">
      <text>
        <r>
          <rPr>
            <b/>
            <sz val="9"/>
            <rFont val="Calibri"/>
            <family val="2"/>
          </rPr>
          <t>Source: Fairtrade Cocoa in West Africa 2014</t>
        </r>
      </text>
    </comment>
    <comment ref="B52" authorId="0">
      <text>
        <r>
          <rPr>
            <b/>
            <sz val="9"/>
            <rFont val="Calibri"/>
            <family val="2"/>
          </rPr>
          <t>Source:</t>
        </r>
        <r>
          <rPr>
            <sz val="9"/>
            <rFont val="Calibri"/>
            <family val="2"/>
          </rPr>
          <t xml:space="preserve">
 WCF 2013 </t>
        </r>
      </text>
    </comment>
    <comment ref="E54" authorId="0">
      <text>
        <r>
          <rPr>
            <sz val="9"/>
            <rFont val="Calibri"/>
            <family val="2"/>
          </rPr>
          <t>Assuming that transport to collection point is similar to from cp to port, and that costs have gone down over the last years: 5% of FOB</t>
        </r>
      </text>
    </comment>
    <comment ref="C61" authorId="0">
      <text>
        <r>
          <rPr>
            <b/>
            <sz val="9"/>
            <rFont val="Calibri"/>
            <family val="2"/>
          </rPr>
          <t>Antonie Fountain:</t>
        </r>
        <r>
          <rPr>
            <sz val="9"/>
            <rFont val="Calibri"/>
            <family val="2"/>
          </rPr>
          <t xml:space="preserve">
£ 30 per ton, conversion of 0,8096
</t>
        </r>
      </text>
    </comment>
    <comment ref="E75" authorId="0">
      <text>
        <r>
          <rPr>
            <sz val="9"/>
            <rFont val="Calibri"/>
            <family val="2"/>
          </rPr>
          <t>Tonnes times average profit margin.</t>
        </r>
      </text>
    </comment>
    <comment ref="B95" authorId="0">
      <text>
        <r>
          <rPr>
            <b/>
            <sz val="9"/>
            <rFont val="Calibri"/>
            <family val="2"/>
          </rPr>
          <t>Median of De Graaf, Chocolonely and Gillies</t>
        </r>
        <r>
          <rPr>
            <sz val="9"/>
            <rFont val="Calibri"/>
            <family val="2"/>
          </rPr>
          <t xml:space="preserve">
Assuming that distribution of raw material costs, 41% is cocoa, 59% is sugar, milk powder etc...</t>
        </r>
      </text>
    </comment>
    <comment ref="E96" authorId="0">
      <text>
        <r>
          <rPr>
            <b/>
            <sz val="9"/>
            <rFont val="Calibri"/>
            <family val="2"/>
          </rPr>
          <t>Assuming cocoa is approx 40% of raw ingredient costs</t>
        </r>
      </text>
    </comment>
    <comment ref="B97" authorId="0">
      <text>
        <r>
          <rPr>
            <sz val="9"/>
            <rFont val="Calibri"/>
            <family val="2"/>
          </rPr>
          <t>(sometimes integrated in processing (Barry Callebaut) sometimes separate)</t>
        </r>
      </text>
    </comment>
    <comment ref="B100" authorId="0">
      <text>
        <r>
          <rPr>
            <sz val="9"/>
            <rFont val="Calibri"/>
            <family val="2"/>
          </rPr>
          <t xml:space="preserve">Based on 2009 CB numbers + extrapolation. </t>
        </r>
      </text>
    </comment>
    <comment ref="B135" authorId="0">
      <text>
        <r>
          <rPr>
            <sz val="9"/>
            <rFont val="Calibri"/>
            <family val="2"/>
          </rPr>
          <t>You can make 26.700 bars of chocolate with 1 tonne of chocolate. If the bar of chocolate costs € 0,69, the tonne of chocolate costs € 18.423 per tonne.</t>
        </r>
      </text>
    </comment>
    <comment ref="G135" authorId="0">
      <text>
        <r>
          <rPr>
            <b/>
            <sz val="9"/>
            <rFont val="Calibri"/>
            <family val="2"/>
          </rPr>
          <t>Source: JaarFairSlag 2013</t>
        </r>
        <r>
          <rPr>
            <sz val="9"/>
            <rFont val="Calibri"/>
            <family val="2"/>
          </rPr>
          <t xml:space="preserve">
</t>
        </r>
      </text>
    </comment>
    <comment ref="K135" authorId="0">
      <text>
        <r>
          <rPr>
            <sz val="9"/>
            <rFont val="Calibri"/>
            <family val="2"/>
          </rPr>
          <t>Source: own research</t>
        </r>
      </text>
    </comment>
    <comment ref="M136" authorId="0">
      <text>
        <r>
          <rPr>
            <sz val="9"/>
            <rFont val="Calibri"/>
            <family val="2"/>
          </rPr>
          <t>Assuming a cocoa percentage of 32%, thereby contributing to 40% of ingredient costs.</t>
        </r>
      </text>
    </comment>
    <comment ref="F1" authorId="0">
      <text>
        <r>
          <rPr>
            <b/>
            <sz val="9"/>
            <rFont val="Calibri"/>
            <family val="2"/>
          </rPr>
          <t>FOB Price: ICCO Feb 2 2015</t>
        </r>
      </text>
    </comment>
    <comment ref="C55" authorId="0">
      <text>
        <r>
          <rPr>
            <sz val="9"/>
            <rFont val="Calibri"/>
            <family val="2"/>
          </rPr>
          <t>ICCO</t>
        </r>
      </text>
    </comment>
    <comment ref="C56" authorId="0">
      <text>
        <r>
          <rPr>
            <sz val="9"/>
            <rFont val="Calibri"/>
            <family val="2"/>
          </rPr>
          <t>ICCO</t>
        </r>
      </text>
    </comment>
    <comment ref="C57" authorId="0">
      <text>
        <r>
          <rPr>
            <sz val="9"/>
            <rFont val="Calibri"/>
            <family val="2"/>
          </rPr>
          <t>ICCO</t>
        </r>
      </text>
    </comment>
    <comment ref="B22" authorId="0">
      <text>
        <r>
          <rPr>
            <sz val="9"/>
            <rFont val="Calibri"/>
            <family val="2"/>
          </rPr>
          <t>As provided by Standard Bodies to Cocoa Barometer 2015</t>
        </r>
      </text>
    </comment>
    <comment ref="E104" authorId="0">
      <text>
        <r>
          <rPr>
            <sz val="9"/>
            <rFont val="Calibri"/>
            <family val="2"/>
          </rPr>
          <t>Tonnes times average profit margin.</t>
        </r>
      </text>
    </comment>
  </commentList>
</comments>
</file>

<file path=xl/comments2.xml><?xml version="1.0" encoding="utf-8"?>
<comments xmlns="http://schemas.openxmlformats.org/spreadsheetml/2006/main">
  <authors>
    <author>Antonie Fountain</author>
  </authors>
  <commentList>
    <comment ref="C15" authorId="0">
      <text>
        <r>
          <rPr>
            <sz val="9"/>
            <rFont val="Calibri"/>
            <family val="2"/>
          </rPr>
          <t>LMC estimates a too low productivity in our opinion. Up by 30% = 30% more costs ceteris paribus</t>
        </r>
      </text>
    </comment>
    <comment ref="C16" authorId="0">
      <text>
        <r>
          <rPr>
            <sz val="9"/>
            <rFont val="Calibri"/>
            <family val="2"/>
          </rPr>
          <t>LMC estimates a too low productivity in our opinion. Up by 30% = 30% more costs ceteris paribus</t>
        </r>
      </text>
    </comment>
  </commentList>
</comments>
</file>

<file path=xl/sharedStrings.xml><?xml version="1.0" encoding="utf-8"?>
<sst xmlns="http://schemas.openxmlformats.org/spreadsheetml/2006/main" count="307" uniqueCount="218">
  <si>
    <t>Côte d'Ivôire</t>
  </si>
  <si>
    <t>Ghana</t>
  </si>
  <si>
    <t>Nigeria</t>
  </si>
  <si>
    <t>Indonesia</t>
  </si>
  <si>
    <t>Equador</t>
  </si>
  <si>
    <t>Of which Cocoa %</t>
  </si>
  <si>
    <t>Total</t>
  </si>
  <si>
    <t>Rainforest</t>
  </si>
  <si>
    <t>UTZ</t>
  </si>
  <si>
    <t>Fairtrade</t>
  </si>
  <si>
    <t>Certification Benefits &amp; Costs</t>
  </si>
  <si>
    <t>Profit</t>
  </si>
  <si>
    <t>In %</t>
  </si>
  <si>
    <t>Processors &amp; Grinders</t>
  </si>
  <si>
    <t>Retail</t>
  </si>
  <si>
    <t>Sells</t>
  </si>
  <si>
    <t>Buys</t>
  </si>
  <si>
    <t>Value Added</t>
  </si>
  <si>
    <t>Total Income</t>
  </si>
  <si>
    <t>Benefits of certification p.t.</t>
  </si>
  <si>
    <t>International Transport</t>
  </si>
  <si>
    <t>Latin America</t>
  </si>
  <si>
    <t>Asia</t>
  </si>
  <si>
    <t>€ 160 - € 190</t>
  </si>
  <si>
    <t>€ 200 - € 220</t>
  </si>
  <si>
    <t>€ 230 - € 240</t>
  </si>
  <si>
    <t>FOB Distribution</t>
  </si>
  <si>
    <t>Farmer</t>
  </si>
  <si>
    <t>Farmer €</t>
  </si>
  <si>
    <t>Weighted Average</t>
  </si>
  <si>
    <t>Yield: t.p.h.</t>
  </si>
  <si>
    <t>Farm size (ha)</t>
  </si>
  <si>
    <t>FOB</t>
  </si>
  <si>
    <t>Taxes/MarketingBoard</t>
  </si>
  <si>
    <t>Input costs p.h.</t>
  </si>
  <si>
    <t>Costs RA</t>
  </si>
  <si>
    <t>Costs UTZ</t>
  </si>
  <si>
    <t>Costs FT</t>
  </si>
  <si>
    <t>Premium RA</t>
  </si>
  <si>
    <t>Premium UTZ</t>
  </si>
  <si>
    <t>Premium FT</t>
  </si>
  <si>
    <t>Net RA</t>
  </si>
  <si>
    <t>Net UTZ</t>
  </si>
  <si>
    <t>Net FT</t>
  </si>
  <si>
    <t>Tonnes</t>
  </si>
  <si>
    <t>Weight</t>
  </si>
  <si>
    <t>Rest of West Africa</t>
  </si>
  <si>
    <t>Weight calculation</t>
  </si>
  <si>
    <t>Total Yield (tonnes per farm)</t>
  </si>
  <si>
    <t>Kilotonnes</t>
  </si>
  <si>
    <t>FairTrade</t>
  </si>
  <si>
    <t>Net aggregated</t>
  </si>
  <si>
    <t>Average Premium</t>
  </si>
  <si>
    <t>Average Costs</t>
  </si>
  <si>
    <t>Farmers income weighted</t>
  </si>
  <si>
    <t>Produced</t>
  </si>
  <si>
    <t>Sold</t>
  </si>
  <si>
    <t>Total (€p.t.)</t>
  </si>
  <si>
    <t>Terminal Handling Costs port of arrival</t>
  </si>
  <si>
    <t>From Ghana</t>
  </si>
  <si>
    <t>Touton</t>
  </si>
  <si>
    <t>Continaf</t>
  </si>
  <si>
    <t>From West Africa</t>
  </si>
  <si>
    <t>Terminal Handling Costs in Europe</t>
  </si>
  <si>
    <t>From Latin America</t>
  </si>
  <si>
    <t>From Asia</t>
  </si>
  <si>
    <t>International Traders</t>
  </si>
  <si>
    <t>Blommer</t>
  </si>
  <si>
    <t>Ecom</t>
  </si>
  <si>
    <t>Farmer Revenue HAF</t>
  </si>
  <si>
    <t>Cocoa Income</t>
  </si>
  <si>
    <t>Dependents</t>
  </si>
  <si>
    <t>$PPPD</t>
  </si>
  <si>
    <t>Inland transport</t>
  </si>
  <si>
    <t>Average</t>
  </si>
  <si>
    <t>Net Income (-Costs)</t>
  </si>
  <si>
    <t>NPPPD€</t>
  </si>
  <si>
    <t>€PPPD</t>
  </si>
  <si>
    <t>Purchase</t>
  </si>
  <si>
    <t>Processing Costs</t>
  </si>
  <si>
    <t>Marketing Costs</t>
  </si>
  <si>
    <t>Processors</t>
  </si>
  <si>
    <t>Marketing costs</t>
  </si>
  <si>
    <t>Profits</t>
  </si>
  <si>
    <t>Sales exit chocolate factories</t>
  </si>
  <si>
    <t xml:space="preserve">Chocolate consumption retail price </t>
  </si>
  <si>
    <t>Retail &amp; Taxes</t>
  </si>
  <si>
    <t>Calculated Income per Cocoa Farm</t>
  </si>
  <si>
    <t>Net Income</t>
  </si>
  <si>
    <t>Revenu</t>
  </si>
  <si>
    <t>Taxes, Marketing Board &amp; other</t>
  </si>
  <si>
    <t>Sales</t>
  </si>
  <si>
    <t>Per tonne</t>
  </si>
  <si>
    <t>Sales chocolate Manufacturers</t>
  </si>
  <si>
    <t>Mondelez</t>
  </si>
  <si>
    <t>Nestlé</t>
  </si>
  <si>
    <t>Mars</t>
  </si>
  <si>
    <t>Hershey</t>
  </si>
  <si>
    <t>Ferrero</t>
  </si>
  <si>
    <t>Manufacturing</t>
  </si>
  <si>
    <t>Per tonne of chocolate</t>
  </si>
  <si>
    <t>Calculation</t>
  </si>
  <si>
    <t>Wholesale</t>
  </si>
  <si>
    <t>VAT</t>
  </si>
  <si>
    <t>Gillies</t>
  </si>
  <si>
    <t>Other ingredients</t>
  </si>
  <si>
    <t>Logistics</t>
  </si>
  <si>
    <t>Tax</t>
  </si>
  <si>
    <t>Storage</t>
  </si>
  <si>
    <t>Rent, electricity</t>
  </si>
  <si>
    <t>Personell</t>
  </si>
  <si>
    <t>Retail costs</t>
  </si>
  <si>
    <t>Retail profits</t>
  </si>
  <si>
    <t>Wholesale costs</t>
  </si>
  <si>
    <t>Wholesale profits</t>
  </si>
  <si>
    <t>Ingredients</t>
  </si>
  <si>
    <t>Overhead</t>
  </si>
  <si>
    <t>Overall</t>
  </si>
  <si>
    <t>Packaging</t>
  </si>
  <si>
    <t>Marketing</t>
  </si>
  <si>
    <t>Production</t>
  </si>
  <si>
    <t>Per bar (€ 0,69)</t>
  </si>
  <si>
    <t>Manufacturing &amp; Retail Distribution</t>
  </si>
  <si>
    <t>Chocolonely</t>
  </si>
  <si>
    <t>Mass/butter/powder</t>
  </si>
  <si>
    <t>Sugar</t>
  </si>
  <si>
    <t>Milk powder</t>
  </si>
  <si>
    <t>Production and packaging</t>
  </si>
  <si>
    <t>Profit, retail, wholesale</t>
  </si>
  <si>
    <t>Social enterprise</t>
  </si>
  <si>
    <r>
      <t xml:space="preserve">Processed cocoa </t>
    </r>
    <r>
      <rPr>
        <sz val="12"/>
        <color theme="1"/>
        <rFont val="Calibri"/>
        <family val="2"/>
      </rPr>
      <t>per tonne</t>
    </r>
  </si>
  <si>
    <t>De Graaf</t>
  </si>
  <si>
    <t>Processed cocoa</t>
  </si>
  <si>
    <t>Production couverture</t>
  </si>
  <si>
    <t>Overhead factories</t>
  </si>
  <si>
    <t>Sales factories</t>
  </si>
  <si>
    <t>Retail &amp; Wholesale Margin + VAT</t>
  </si>
  <si>
    <t>In billions</t>
  </si>
  <si>
    <t>Cocoa ingredients</t>
  </si>
  <si>
    <t>Of which cocoa costs (assumption)</t>
  </si>
  <si>
    <t>Chocolate production</t>
  </si>
  <si>
    <t>Couverture production</t>
  </si>
  <si>
    <t>In % of manufacturing and retail</t>
  </si>
  <si>
    <t xml:space="preserve"> </t>
  </si>
  <si>
    <t>Retail &amp; wholesale</t>
  </si>
  <si>
    <t>Purchase of chocolate</t>
  </si>
  <si>
    <r>
      <t>Manufacturers</t>
    </r>
    <r>
      <rPr>
        <sz val="12"/>
        <color theme="1"/>
        <rFont val="Calibri"/>
        <family val="2"/>
      </rPr>
      <t xml:space="preserve"> (chocolate, not cocoa)</t>
    </r>
  </si>
  <si>
    <t>Inland Transport</t>
  </si>
  <si>
    <t>Manufacturer*</t>
  </si>
  <si>
    <t>Sold as certified</t>
  </si>
  <si>
    <t>Redistribution of large actor profits</t>
  </si>
  <si>
    <t>Half of chocolate profits manufacturers</t>
  </si>
  <si>
    <t>Half of cocoa profits processors</t>
  </si>
  <si>
    <t>Weight loss at processing (moisture loss is earlier)</t>
  </si>
  <si>
    <t>In millions</t>
  </si>
  <si>
    <t>Annual added income per farmer</t>
  </si>
  <si>
    <t>In % of average annual cocoa income</t>
  </si>
  <si>
    <t>Remaining gap to poverty line</t>
  </si>
  <si>
    <t xml:space="preserve">Total Income </t>
  </si>
  <si>
    <t>Average dependent per cocoa farmer</t>
  </si>
  <si>
    <t>New income pppd</t>
  </si>
  <si>
    <t>In % of final sale</t>
  </si>
  <si>
    <t>Remaing gap to extreme poverty line</t>
  </si>
  <si>
    <t>Smallholder farmers (in millions)</t>
  </si>
  <si>
    <t>Net input costs per farm</t>
  </si>
  <si>
    <t>% Cocoa of Income</t>
  </si>
  <si>
    <t>Household  Size</t>
  </si>
  <si>
    <t>Cost per Tonne</t>
  </si>
  <si>
    <t>Yield per Ha (in kilo)</t>
  </si>
  <si>
    <t>Farm Size (in hectare)</t>
  </si>
  <si>
    <t>cost per farm</t>
  </si>
  <si>
    <t>Input costs per ton</t>
  </si>
  <si>
    <t>turnover</t>
  </si>
  <si>
    <t>farmgate price</t>
  </si>
  <si>
    <t>Farmer Revenu</t>
  </si>
  <si>
    <t>?</t>
  </si>
  <si>
    <t>Net Cocoa Income ( - Costs)</t>
  </si>
  <si>
    <t>$PerPersonPerDay</t>
  </si>
  <si>
    <t>Literature</t>
  </si>
  <si>
    <t>Hardman &amp; Co (2014): Giant On A Pinhead – A Profile of the Cocoa Sector.</t>
  </si>
  <si>
    <t>https://commerce.us.reuters.com/purchase/showReportDetail.do?docid=66831015</t>
  </si>
  <si>
    <t>KPMG (2012): Cocoa Certification. A study on the costs, advantages and disadvantages of cocoa certification commissioned by The International Cocoa Organization (ICCO).</t>
  </si>
  <si>
    <t xml:space="preserve">http://www.icco.org/about-us/international-cocoa-agreements/cat_view/30-related-documents/37-fair-trade-organic-cocoa.html  </t>
  </si>
  <si>
    <t>LMC 2014: Cocoa comparative household economy study. Study for World Cocoa Foundation. February 2014</t>
  </si>
  <si>
    <t>http://fairtradekookboek.files.wordpress.com/2013/12/apiss-fairtradeinghanaiancocoa.pdf</t>
  </si>
  <si>
    <t xml:space="preserve">Republic of Côte d’Ivoire 2008: Steering Committee for the Child Labour Monitoring System within the Framework of Certification of the Cocoa Production Process – National Initial Diagnostic Survey – Final Report, Juni 2008. </t>
  </si>
  <si>
    <t>Uribe Leitz, Enrique 2014 : Summary of Ivory Coast dataset - producer level only. Draft.</t>
  </si>
  <si>
    <t>WCF (World Cocoa Foundation) 2013: WCF CLP 9th Steering Committee Pre-read. April 2013.</t>
  </si>
  <si>
    <t>Deppeler, A. / Fromm, I. / Aidoo, R. 2014: The Unmaking of the Cocoa Farmer:  Analysis of Benefits and Challenges of third-party audited Certification Schemes for Cocoa Producers and Laborers in Ghana.</t>
  </si>
  <si>
    <t>http://www.ifama.org/files/conf/papers/1069.pdf</t>
  </si>
  <si>
    <t>Ecobank 2014: Cocoa: Promising outlook for West Africa’s 2014/15 season.  Middle Africa Briefing Note | Soft Commodities | Cocoa 30 October 2014.</t>
  </si>
  <si>
    <t>http://www.ecobank.com/upload/20141103102555632920ARNtHccJU9.pdf</t>
  </si>
  <si>
    <t>FAFO 2012: Towards Côte d’Ivoire Sustainable Cocoa Initiative (CISCI). Baseline Study Report by Anne Hatløy, Tewodros Aragie Kebede, Patrick Joel Adeba, Core Elvis. October 2012.</t>
  </si>
  <si>
    <t>http://www.nhomatogdrikke.no/getfile.php/Sjokolade/Final%20Baseline%20Report.pdf</t>
  </si>
  <si>
    <t>FAFO/AIS n.y.: Final Verification Report: Ghana.</t>
  </si>
  <si>
    <t>http://admin.csrwire.com/system/report_pdfs/530/original/1234276216_Verification_Report_Ghana.pdf</t>
  </si>
  <si>
    <t>FAFO/AIS n.y. a.: Final Verification Report: Côte d’Ivoire.</t>
  </si>
  <si>
    <t>http://admin.csrwire.com/system/report_pdfs/531/original/1234276386_Verification_Report_CDI.pdf</t>
  </si>
  <si>
    <t>FLA 2012: Sustainable Management of Nestlé’s Cocoa Supply Chain in the Ivory Coast. Focus on Labor Standards.</t>
  </si>
  <si>
    <t>http://www.fairlabor.org/sites/default/files/documents/reports/cocoa-report-final_0.pdf</t>
  </si>
  <si>
    <t>Kuklinski, Frank 2014: Follow-up study on CCE pilot cocoa certification initiatives in Ghana, Côte d’Ivoire and Nigeria, January 2014.</t>
  </si>
  <si>
    <t>http://www.kakaoforum.de/fileadmin/user_uploads/Zusammenfassung_CCE_Studie_Deutsch_19_02_2014.pdf</t>
  </si>
  <si>
    <t xml:space="preserve">Hainmueller, Jens / Hiscox, Michael J. / Tampe, Maja 2011: Sustainable Development for Cocoa Farmers in Ghana, Baseline Survey: Preliminary Report, MIT and Harvard University, January 2011. </t>
  </si>
  <si>
    <t>http://www.theigc.org/wp-content/uploads/2015/02/Hainmueller-Et-Al-2011-Working-Paper.pdf</t>
  </si>
  <si>
    <t>Nelson, Valerie et al. (2013): Assessing the poverty impact of sustainability standards. Fairtrade in Ghanaian cocoa.</t>
  </si>
  <si>
    <t xml:space="preserve">Republic of Ghana 2008: Hazardous Child Labour Activity Framework. For the Cocoa Sector of Ghana. Republic of Ghana – Ministry of Manpower, Youth and Employment. </t>
  </si>
  <si>
    <t>http://www.cocoainitiative.org/en/documents-manager/english/50-hazardous-activity-framework-for-ghana-2008/file</t>
  </si>
  <si>
    <t>1 (Certified)</t>
  </si>
  <si>
    <t>1 (Control)</t>
  </si>
  <si>
    <t>12; 13</t>
  </si>
  <si>
    <t>4; 5</t>
  </si>
  <si>
    <t>Volume/Profits traders/Grinders</t>
  </si>
  <si>
    <t>Barry Callebaut*</t>
  </si>
  <si>
    <t>ADM</t>
  </si>
  <si>
    <t xml:space="preserve">Cargill
</t>
  </si>
  <si>
    <t>Olam</t>
  </si>
  <si>
    <t>Lindt &amp; Sprüngli</t>
  </si>
  <si>
    <t>Audit Cost (estimate per audit)</t>
  </si>
</sst>
</file>

<file path=xl/styles.xml><?xml version="1.0" encoding="utf-8"?>
<styleSheet xmlns="http://schemas.openxmlformats.org/spreadsheetml/2006/main">
  <numFmts count="41">
    <numFmt numFmtId="5" formatCode="&quot;€&quot;#,##0_-;&quot;€&quot;#,##0\-"/>
    <numFmt numFmtId="6" formatCode="&quot;€&quot;#,##0_-;[Red]&quot;€&quot;#,##0\-"/>
    <numFmt numFmtId="7" formatCode="&quot;€&quot;#,##0.00_-;&quot;€&quot;#,##0.00\-"/>
    <numFmt numFmtId="8" formatCode="&quot;€&quot;#,##0.00_-;[Red]&quot;€&quot;#,##0.00\-"/>
    <numFmt numFmtId="42" formatCode="_-&quot;€&quot;* #,##0_-;_-&quot;€&quot;* #,##0\-;_-&quot;€&quot;* &quot;-&quot;_-;_-@_-"/>
    <numFmt numFmtId="41" formatCode="_-* #,##0_-;_-* #,##0\-;_-* &quot;-&quot;_-;_-@_-"/>
    <numFmt numFmtId="44" formatCode="_-&quot;€&quot;* #,##0.00_-;_-&quot;€&quot;* #,##0.00\-;_-&quot;€&quot;* &quot;-&quot;??_-;_-@_-"/>
    <numFmt numFmtId="43" formatCode="_-* #,##0.00_-;_-* #,##0.00\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&quot;€&quot;\ * #,##0_-;_-&quot;€&quot;\ * #,##0\-;_-&quot;€&quot;\ * &quot;-&quot;_-;_-@_-"/>
    <numFmt numFmtId="173" formatCode="_-&quot;€&quot;\ * #,##0.00_-;_-&quot;€&quot;\ * #,##0.00\-;_-&quot;€&quot;\ * &quot;-&quot;??_-;_-@_-"/>
    <numFmt numFmtId="174" formatCode="_-[$$-409]* #,##0.00_ ;_-[$$-409]* \-#,##0.00\ ;_-[$$-409]* &quot;-&quot;??_ ;_-@_ "/>
    <numFmt numFmtId="175" formatCode="_-[$$-409]* #,##0_ ;_-[$$-409]* \-#,##0\ ;_-[$$-409]* &quot;-&quot;_ ;_-@_ "/>
    <numFmt numFmtId="176" formatCode="0.0%"/>
    <numFmt numFmtId="177" formatCode="_-* #,##0_-;_-* #,##0\-;_-* &quot;-&quot;??_-;_-@_-"/>
    <numFmt numFmtId="178" formatCode="_-&quot;€&quot;\ * #,##0_-;_-&quot;€&quot;\ * #,##0\-;_-&quot;€&quot;\ * &quot;-&quot;??_-;_-@_-"/>
    <numFmt numFmtId="179" formatCode="_-* #,##0.0_-;_-* #,##0.0\-;_-* &quot;-&quot;??_-;_-@_-"/>
    <numFmt numFmtId="180" formatCode="_-&quot;€&quot;\ * #,##0.0_-;_-&quot;€&quot;\ * #,##0.0\-;_-&quot;€&quot;\ * &quot;-&quot;?_-;_-@_-"/>
    <numFmt numFmtId="181" formatCode="0.0"/>
    <numFmt numFmtId="182" formatCode="_-&quot;€&quot;\ * #,##0.00_-;_-&quot;€&quot;\ * #,##0.00\-;_-&quot;€&quot;\ * &quot;-&quot;?_-;_-@_-"/>
    <numFmt numFmtId="183" formatCode="_-&quot;€&quot;\ * #,##0_-;_-&quot;€&quot;\ * #,##0\-;_-&quot;€&quot;\ * &quot;-&quot;?_-;_-@_-"/>
    <numFmt numFmtId="184" formatCode="_-&quot;€&quot;\ * #,##0.0_-;_-&quot;€&quot;\ * #,##0.0\-;_-&quot;€&quot;\ * &quot;-&quot;??_-;_-@_-"/>
    <numFmt numFmtId="185" formatCode="_-[$£-809]* #,##0.00_-;\-[$£-809]* #,##0.00_-;_-[$£-809]* &quot;-&quot;??_-;_-@_-"/>
    <numFmt numFmtId="186" formatCode="0.0000"/>
    <numFmt numFmtId="187" formatCode="_-&quot;€&quot;\ * #,##0.000_-;_-&quot;€&quot;\ * #,##0.000\-;_-&quot;€&quot;\ * &quot;-&quot;??_-;_-@_-"/>
    <numFmt numFmtId="188" formatCode="_-&quot;€&quot;\ * #,##0.0000000_-;_-&quot;€&quot;\ * #,##0.0000000\-;_-&quot;€&quot;\ * &quot;-&quot;???_-;_-@_-"/>
    <numFmt numFmtId="189" formatCode="_-[$€-2]\ * #,##0_-;_-[$€-2]\ * #,##0\-;_-[$€-2]\ * &quot;-&quot;??_-;_-@_-"/>
    <numFmt numFmtId="190" formatCode="[$$-540A]#,##0.00"/>
    <numFmt numFmtId="191" formatCode="#,##0.00_ ;\-#,##0.00\ "/>
    <numFmt numFmtId="192" formatCode="#,##0.0_ ;\-#,##0.0\ "/>
    <numFmt numFmtId="193" formatCode="&quot;Ja&quot;;&quot;Ja&quot;;&quot;Nein&quot;"/>
    <numFmt numFmtId="194" formatCode="&quot;Wahr&quot;;&quot;Wahr&quot;;&quot;Falsch&quot;"/>
    <numFmt numFmtId="195" formatCode="&quot;Ein&quot;;&quot;Ein&quot;;&quot;Aus&quot;"/>
    <numFmt numFmtId="196" formatCode="[$€-2]\ #,##0.00_);[Red]\([$€-2]\ #,##0.00\)"/>
  </numFmts>
  <fonts count="76">
    <font>
      <sz val="12"/>
      <color theme="1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2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sz val="12"/>
      <color indexed="8"/>
      <name val="Cambria"/>
      <family val="1"/>
    </font>
    <font>
      <b/>
      <i/>
      <sz val="12"/>
      <color indexed="8"/>
      <name val="Calibri"/>
      <family val="2"/>
    </font>
    <font>
      <b/>
      <i/>
      <sz val="16"/>
      <color indexed="8"/>
      <name val="Calibri"/>
      <family val="2"/>
    </font>
    <font>
      <b/>
      <sz val="12"/>
      <color indexed="22"/>
      <name val="Calibri"/>
      <family val="2"/>
    </font>
    <font>
      <i/>
      <sz val="12"/>
      <color indexed="22"/>
      <name val="Calibri"/>
      <family val="2"/>
    </font>
    <font>
      <i/>
      <sz val="12"/>
      <color indexed="8"/>
      <name val="Calibri"/>
      <family val="2"/>
    </font>
    <font>
      <b/>
      <sz val="12"/>
      <name val="Calibri"/>
      <family val="0"/>
    </font>
    <font>
      <b/>
      <sz val="18"/>
      <name val="Calibri"/>
      <family val="2"/>
    </font>
    <font>
      <b/>
      <sz val="12"/>
      <color indexed="10"/>
      <name val="Calibri"/>
      <family val="2"/>
    </font>
    <font>
      <sz val="12"/>
      <color indexed="8"/>
      <name val="Arial"/>
      <family val="2"/>
    </font>
    <font>
      <sz val="12"/>
      <color indexed="22"/>
      <name val="Calibri"/>
      <family val="0"/>
    </font>
    <font>
      <sz val="11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2"/>
      <color rgb="FF000000"/>
      <name val="Calibri"/>
      <family val="2"/>
    </font>
    <font>
      <sz val="12"/>
      <color theme="1"/>
      <name val="Cambria"/>
      <family val="1"/>
    </font>
    <font>
      <b/>
      <i/>
      <sz val="12"/>
      <color theme="1"/>
      <name val="Calibri"/>
      <family val="2"/>
    </font>
    <font>
      <b/>
      <i/>
      <sz val="16"/>
      <color theme="1"/>
      <name val="Calibri"/>
      <family val="2"/>
    </font>
    <font>
      <b/>
      <sz val="12"/>
      <color theme="0" tint="-0.24997000396251678"/>
      <name val="Calibri"/>
      <family val="2"/>
    </font>
    <font>
      <i/>
      <sz val="12"/>
      <color theme="0" tint="-0.24997000396251678"/>
      <name val="Calibri"/>
      <family val="2"/>
    </font>
    <font>
      <i/>
      <sz val="12"/>
      <color theme="1"/>
      <name val="Calibri"/>
      <family val="2"/>
    </font>
    <font>
      <b/>
      <sz val="12"/>
      <color rgb="FFFF0000"/>
      <name val="Calibri"/>
      <family val="2"/>
    </font>
    <font>
      <sz val="12"/>
      <color theme="1"/>
      <name val="Arial"/>
      <family val="2"/>
    </font>
    <font>
      <sz val="12"/>
      <color theme="0" tint="-0.1499900072813034"/>
      <name val="Calibri"/>
      <family val="0"/>
    </font>
    <font>
      <b/>
      <sz val="12"/>
      <color theme="0" tint="-0.04997999966144562"/>
      <name val="Calibri"/>
      <family val="0"/>
    </font>
    <font>
      <b/>
      <sz val="18"/>
      <color theme="1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88">
    <xf numFmtId="0" fontId="0" fillId="0" borderId="0" xfId="0" applyFont="1" applyAlignment="1">
      <alignment/>
    </xf>
    <xf numFmtId="9" fontId="0" fillId="0" borderId="0" xfId="63" applyFont="1" applyAlignment="1">
      <alignment/>
    </xf>
    <xf numFmtId="9" fontId="0" fillId="0" borderId="0" xfId="63" applyFont="1" applyBorder="1" applyAlignment="1">
      <alignment/>
    </xf>
    <xf numFmtId="178" fontId="0" fillId="0" borderId="0" xfId="45" applyNumberFormat="1" applyFont="1" applyBorder="1" applyAlignment="1">
      <alignment/>
    </xf>
    <xf numFmtId="179" fontId="0" fillId="0" borderId="0" xfId="42" applyNumberFormat="1" applyFont="1" applyBorder="1" applyAlignment="1">
      <alignment/>
    </xf>
    <xf numFmtId="175" fontId="0" fillId="0" borderId="10" xfId="45" applyNumberFormat="1" applyFont="1" applyBorder="1" applyAlignment="1">
      <alignment/>
    </xf>
    <xf numFmtId="175" fontId="0" fillId="0" borderId="0" xfId="45" applyNumberFormat="1" applyFont="1" applyBorder="1" applyAlignment="1">
      <alignment/>
    </xf>
    <xf numFmtId="175" fontId="0" fillId="0" borderId="11" xfId="45" applyNumberFormat="1" applyFont="1" applyBorder="1" applyAlignment="1">
      <alignment/>
    </xf>
    <xf numFmtId="9" fontId="0" fillId="0" borderId="0" xfId="63" applyFont="1" applyFill="1" applyBorder="1" applyAlignment="1">
      <alignment/>
    </xf>
    <xf numFmtId="177" fontId="0" fillId="0" borderId="0" xfId="42" applyNumberFormat="1" applyFont="1" applyFill="1" applyBorder="1" applyAlignment="1">
      <alignment/>
    </xf>
    <xf numFmtId="9" fontId="0" fillId="0" borderId="10" xfId="63" applyFont="1" applyFill="1" applyBorder="1" applyAlignment="1">
      <alignment/>
    </xf>
    <xf numFmtId="9" fontId="0" fillId="0" borderId="11" xfId="63" applyFont="1" applyFill="1" applyBorder="1" applyAlignment="1">
      <alignment horizontal="right"/>
    </xf>
    <xf numFmtId="9" fontId="0" fillId="0" borderId="11" xfId="63" applyFont="1" applyBorder="1" applyAlignment="1">
      <alignment horizontal="right"/>
    </xf>
    <xf numFmtId="9" fontId="0" fillId="0" borderId="12" xfId="63" applyFont="1" applyBorder="1" applyAlignment="1">
      <alignment horizontal="right"/>
    </xf>
    <xf numFmtId="43" fontId="0" fillId="0" borderId="13" xfId="42" applyNumberFormat="1" applyFont="1" applyBorder="1" applyAlignment="1">
      <alignment/>
    </xf>
    <xf numFmtId="9" fontId="0" fillId="33" borderId="13" xfId="63" applyFont="1" applyFill="1" applyBorder="1" applyAlignment="1">
      <alignment/>
    </xf>
    <xf numFmtId="9" fontId="0" fillId="0" borderId="13" xfId="63" applyFont="1" applyBorder="1" applyAlignment="1">
      <alignment/>
    </xf>
    <xf numFmtId="179" fontId="0" fillId="0" borderId="13" xfId="42" applyNumberFormat="1" applyFont="1" applyBorder="1" applyAlignment="1">
      <alignment/>
    </xf>
    <xf numFmtId="177" fontId="4" fillId="0" borderId="14" xfId="42" applyNumberFormat="1" applyFont="1" applyFill="1" applyBorder="1" applyAlignment="1">
      <alignment/>
    </xf>
    <xf numFmtId="9" fontId="0" fillId="0" borderId="15" xfId="63" applyFont="1" applyFill="1" applyBorder="1" applyAlignment="1">
      <alignment/>
    </xf>
    <xf numFmtId="179" fontId="0" fillId="0" borderId="0" xfId="42" applyNumberFormat="1" applyFont="1" applyFill="1" applyBorder="1" applyAlignment="1">
      <alignment/>
    </xf>
    <xf numFmtId="177" fontId="0" fillId="0" borderId="14" xfId="42" applyNumberFormat="1" applyFont="1" applyFill="1" applyBorder="1" applyAlignment="1">
      <alignment/>
    </xf>
    <xf numFmtId="179" fontId="0" fillId="0" borderId="16" xfId="42" applyNumberFormat="1" applyFont="1" applyFill="1" applyBorder="1" applyAlignment="1">
      <alignment/>
    </xf>
    <xf numFmtId="43" fontId="0" fillId="0" borderId="0" xfId="42" applyFont="1" applyAlignment="1">
      <alignment/>
    </xf>
    <xf numFmtId="181" fontId="0" fillId="0" borderId="13" xfId="42" applyNumberFormat="1" applyFont="1" applyBorder="1" applyAlignment="1">
      <alignment/>
    </xf>
    <xf numFmtId="178" fontId="0" fillId="0" borderId="0" xfId="45" applyNumberFormat="1" applyFont="1" applyAlignment="1">
      <alignment/>
    </xf>
    <xf numFmtId="0" fontId="60" fillId="0" borderId="0" xfId="0" applyFont="1" applyAlignment="1">
      <alignment/>
    </xf>
    <xf numFmtId="43" fontId="0" fillId="0" borderId="0" xfId="42" applyNumberFormat="1" applyFont="1" applyBorder="1" applyAlignment="1">
      <alignment/>
    </xf>
    <xf numFmtId="181" fontId="0" fillId="0" borderId="0" xfId="42" applyNumberFormat="1" applyFont="1" applyBorder="1" applyAlignment="1">
      <alignment/>
    </xf>
    <xf numFmtId="183" fontId="0" fillId="0" borderId="0" xfId="45" applyNumberFormat="1" applyFont="1" applyBorder="1" applyAlignment="1">
      <alignment/>
    </xf>
    <xf numFmtId="173" fontId="0" fillId="0" borderId="0" xfId="45" applyNumberFormat="1" applyFont="1" applyBorder="1" applyAlignment="1">
      <alignment/>
    </xf>
    <xf numFmtId="182" fontId="0" fillId="0" borderId="0" xfId="45" applyNumberFormat="1" applyFont="1" applyBorder="1" applyAlignment="1">
      <alignment/>
    </xf>
    <xf numFmtId="179" fontId="0" fillId="0" borderId="14" xfId="42" applyNumberFormat="1" applyFont="1" applyFill="1" applyBorder="1" applyAlignment="1">
      <alignment/>
    </xf>
    <xf numFmtId="9" fontId="0" fillId="33" borderId="17" xfId="63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61" fillId="34" borderId="0" xfId="0" applyFont="1" applyFill="1" applyBorder="1" applyAlignment="1">
      <alignment horizontal="left"/>
    </xf>
    <xf numFmtId="0" fontId="62" fillId="34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178" fontId="0" fillId="0" borderId="0" xfId="45" applyNumberFormat="1" applyFont="1" applyFill="1" applyBorder="1" applyAlignment="1">
      <alignment horizontal="left"/>
    </xf>
    <xf numFmtId="177" fontId="0" fillId="0" borderId="0" xfId="0" applyNumberFormat="1" applyFont="1" applyBorder="1" applyAlignment="1">
      <alignment horizontal="left"/>
    </xf>
    <xf numFmtId="177" fontId="0" fillId="0" borderId="0" xfId="42" applyNumberFormat="1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0" borderId="18" xfId="0" applyFont="1" applyBorder="1" applyAlignment="1">
      <alignment/>
    </xf>
    <xf numFmtId="181" fontId="0" fillId="0" borderId="0" xfId="0" applyNumberFormat="1" applyFont="1" applyAlignment="1">
      <alignment horizontal="left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left" wrapText="1"/>
    </xf>
    <xf numFmtId="177" fontId="0" fillId="0" borderId="14" xfId="42" applyNumberFormat="1" applyFont="1" applyFill="1" applyBorder="1" applyAlignment="1">
      <alignment horizontal="left"/>
    </xf>
    <xf numFmtId="177" fontId="4" fillId="0" borderId="14" xfId="42" applyNumberFormat="1" applyFont="1" applyFill="1" applyBorder="1" applyAlignment="1">
      <alignment horizontal="left"/>
    </xf>
    <xf numFmtId="173" fontId="0" fillId="0" borderId="0" xfId="45" applyFont="1" applyAlignment="1">
      <alignment horizontal="left"/>
    </xf>
    <xf numFmtId="174" fontId="0" fillId="33" borderId="13" xfId="0" applyNumberFormat="1" applyFont="1" applyFill="1" applyBorder="1" applyAlignment="1">
      <alignment/>
    </xf>
    <xf numFmtId="178" fontId="0" fillId="33" borderId="20" xfId="45" applyNumberFormat="1" applyFont="1" applyFill="1" applyBorder="1" applyAlignment="1">
      <alignment horizontal="left"/>
    </xf>
    <xf numFmtId="174" fontId="0" fillId="33" borderId="20" xfId="0" applyNumberFormat="1" applyFont="1" applyFill="1" applyBorder="1" applyAlignment="1">
      <alignment/>
    </xf>
    <xf numFmtId="174" fontId="0" fillId="33" borderId="17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174" fontId="0" fillId="0" borderId="0" xfId="0" applyNumberFormat="1" applyFont="1" applyBorder="1" applyAlignment="1">
      <alignment/>
    </xf>
    <xf numFmtId="181" fontId="0" fillId="0" borderId="11" xfId="0" applyNumberFormat="1" applyFont="1" applyFill="1" applyBorder="1" applyAlignment="1">
      <alignment horizontal="right"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178" fontId="0" fillId="0" borderId="0" xfId="0" applyNumberFormat="1" applyFont="1" applyBorder="1" applyAlignment="1">
      <alignment horizontal="left"/>
    </xf>
    <xf numFmtId="174" fontId="0" fillId="33" borderId="13" xfId="0" applyNumberFormat="1" applyFont="1" applyFill="1" applyBorder="1" applyAlignment="1" quotePrefix="1">
      <alignment/>
    </xf>
    <xf numFmtId="183" fontId="0" fillId="0" borderId="0" xfId="0" applyNumberFormat="1" applyFont="1" applyBorder="1" applyAlignment="1">
      <alignment/>
    </xf>
    <xf numFmtId="181" fontId="0" fillId="0" borderId="0" xfId="0" applyNumberFormat="1" applyFont="1" applyFill="1" applyBorder="1" applyAlignment="1">
      <alignment horizontal="right"/>
    </xf>
    <xf numFmtId="181" fontId="0" fillId="0" borderId="14" xfId="0" applyNumberFormat="1" applyFont="1" applyFill="1" applyBorder="1" applyAlignment="1">
      <alignment horizontal="right"/>
    </xf>
    <xf numFmtId="174" fontId="0" fillId="0" borderId="0" xfId="0" applyNumberFormat="1" applyFont="1" applyAlignment="1">
      <alignment/>
    </xf>
    <xf numFmtId="174" fontId="0" fillId="33" borderId="20" xfId="0" applyNumberFormat="1" applyFont="1" applyFill="1" applyBorder="1" applyAlignment="1">
      <alignment/>
    </xf>
    <xf numFmtId="174" fontId="0" fillId="33" borderId="13" xfId="0" applyNumberFormat="1" applyFont="1" applyFill="1" applyBorder="1" applyAlignment="1">
      <alignment/>
    </xf>
    <xf numFmtId="174" fontId="0" fillId="33" borderId="17" xfId="0" applyNumberFormat="1" applyFont="1" applyFill="1" applyBorder="1" applyAlignment="1">
      <alignment/>
    </xf>
    <xf numFmtId="174" fontId="0" fillId="33" borderId="22" xfId="0" applyNumberFormat="1" applyFont="1" applyFill="1" applyBorder="1" applyAlignment="1">
      <alignment/>
    </xf>
    <xf numFmtId="0" fontId="0" fillId="0" borderId="21" xfId="0" applyFont="1" applyBorder="1" applyAlignment="1">
      <alignment horizontal="left" wrapText="1"/>
    </xf>
    <xf numFmtId="175" fontId="0" fillId="0" borderId="20" xfId="45" applyNumberFormat="1" applyFont="1" applyFill="1" applyBorder="1" applyAlignment="1">
      <alignment horizontal="right"/>
    </xf>
    <xf numFmtId="175" fontId="0" fillId="0" borderId="13" xfId="45" applyNumberFormat="1" applyFont="1" applyFill="1" applyBorder="1" applyAlignment="1">
      <alignment horizontal="right"/>
    </xf>
    <xf numFmtId="175" fontId="0" fillId="0" borderId="17" xfId="45" applyNumberFormat="1" applyFont="1" applyFill="1" applyBorder="1" applyAlignment="1">
      <alignment horizontal="right"/>
    </xf>
    <xf numFmtId="0" fontId="0" fillId="33" borderId="20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 wrapText="1"/>
    </xf>
    <xf numFmtId="9" fontId="0" fillId="0" borderId="21" xfId="63" applyFont="1" applyFill="1" applyBorder="1" applyAlignment="1">
      <alignment horizontal="right"/>
    </xf>
    <xf numFmtId="176" fontId="0" fillId="0" borderId="14" xfId="63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76" fontId="0" fillId="0" borderId="20" xfId="63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left" wrapText="1"/>
    </xf>
    <xf numFmtId="174" fontId="0" fillId="0" borderId="0" xfId="0" applyNumberFormat="1" applyFont="1" applyBorder="1" applyAlignment="1">
      <alignment horizontal="left"/>
    </xf>
    <xf numFmtId="173" fontId="0" fillId="0" borderId="11" xfId="45" applyFont="1" applyBorder="1" applyAlignment="1">
      <alignment horizontal="left"/>
    </xf>
    <xf numFmtId="174" fontId="0" fillId="0" borderId="14" xfId="0" applyNumberFormat="1" applyFont="1" applyBorder="1" applyAlignment="1">
      <alignment horizontal="left"/>
    </xf>
    <xf numFmtId="173" fontId="0" fillId="0" borderId="12" xfId="45" applyFont="1" applyBorder="1" applyAlignment="1">
      <alignment horizontal="left"/>
    </xf>
    <xf numFmtId="0" fontId="60" fillId="0" borderId="0" xfId="0" applyFont="1" applyAlignment="1">
      <alignment horizontal="left"/>
    </xf>
    <xf numFmtId="0" fontId="60" fillId="33" borderId="22" xfId="0" applyFont="1" applyFill="1" applyBorder="1" applyAlignment="1" quotePrefix="1">
      <alignment/>
    </xf>
    <xf numFmtId="0" fontId="60" fillId="33" borderId="20" xfId="0" applyFont="1" applyFill="1" applyBorder="1" applyAlignment="1" quotePrefix="1">
      <alignment/>
    </xf>
    <xf numFmtId="0" fontId="60" fillId="33" borderId="20" xfId="0" applyFont="1" applyFill="1" applyBorder="1" applyAlignment="1">
      <alignment/>
    </xf>
    <xf numFmtId="0" fontId="60" fillId="33" borderId="22" xfId="0" applyFont="1" applyFill="1" applyBorder="1" applyAlignment="1">
      <alignment/>
    </xf>
    <xf numFmtId="184" fontId="63" fillId="0" borderId="0" xfId="0" applyNumberFormat="1" applyFont="1" applyAlignment="1">
      <alignment/>
    </xf>
    <xf numFmtId="178" fontId="63" fillId="0" borderId="0" xfId="0" applyNumberFormat="1" applyFont="1" applyAlignment="1">
      <alignment/>
    </xf>
    <xf numFmtId="178" fontId="0" fillId="0" borderId="0" xfId="0" applyNumberFormat="1" applyFont="1" applyAlignment="1">
      <alignment horizontal="left"/>
    </xf>
    <xf numFmtId="173" fontId="0" fillId="0" borderId="0" xfId="0" applyNumberFormat="1" applyFont="1" applyAlignment="1">
      <alignment/>
    </xf>
    <xf numFmtId="174" fontId="0" fillId="33" borderId="20" xfId="0" applyNumberFormat="1" applyFont="1" applyFill="1" applyBorder="1" applyAlignment="1">
      <alignment horizontal="left"/>
    </xf>
    <xf numFmtId="174" fontId="0" fillId="33" borderId="13" xfId="0" applyNumberFormat="1" applyFont="1" applyFill="1" applyBorder="1" applyAlignment="1">
      <alignment horizontal="left"/>
    </xf>
    <xf numFmtId="9" fontId="0" fillId="0" borderId="0" xfId="63" applyFont="1" applyAlignment="1">
      <alignment horizontal="left"/>
    </xf>
    <xf numFmtId="10" fontId="0" fillId="0" borderId="0" xfId="63" applyNumberFormat="1" applyFont="1" applyAlignment="1">
      <alignment horizontal="left"/>
    </xf>
    <xf numFmtId="9" fontId="0" fillId="0" borderId="0" xfId="63" applyFont="1" applyAlignment="1">
      <alignment horizontal="right"/>
    </xf>
    <xf numFmtId="10" fontId="0" fillId="0" borderId="0" xfId="63" applyNumberFormat="1" applyFont="1" applyAlignment="1">
      <alignment horizontal="right"/>
    </xf>
    <xf numFmtId="186" fontId="64" fillId="0" borderId="0" xfId="0" applyNumberFormat="1" applyFont="1" applyAlignment="1">
      <alignment vertical="center"/>
    </xf>
    <xf numFmtId="174" fontId="0" fillId="0" borderId="0" xfId="0" applyNumberFormat="1" applyFont="1" applyAlignment="1">
      <alignment horizontal="left"/>
    </xf>
    <xf numFmtId="178" fontId="0" fillId="0" borderId="0" xfId="45" applyNumberFormat="1" applyFont="1" applyAlignment="1">
      <alignment horizontal="left"/>
    </xf>
    <xf numFmtId="9" fontId="0" fillId="0" borderId="21" xfId="63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9" fontId="0" fillId="0" borderId="0" xfId="63" applyFont="1" applyBorder="1" applyAlignment="1">
      <alignment horizontal="right"/>
    </xf>
    <xf numFmtId="43" fontId="0" fillId="0" borderId="0" xfId="42" applyFont="1" applyAlignment="1">
      <alignment horizontal="left"/>
    </xf>
    <xf numFmtId="0" fontId="0" fillId="0" borderId="18" xfId="0" applyFont="1" applyFill="1" applyBorder="1" applyAlignment="1">
      <alignment vertical="center" wrapText="1"/>
    </xf>
    <xf numFmtId="0" fontId="65" fillId="0" borderId="22" xfId="0" applyFont="1" applyFill="1" applyBorder="1" applyAlignment="1">
      <alignment vertical="center" wrapText="1"/>
    </xf>
    <xf numFmtId="0" fontId="60" fillId="0" borderId="0" xfId="0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9" fontId="0" fillId="0" borderId="0" xfId="63" applyFont="1" applyFill="1" applyBorder="1" applyAlignment="1">
      <alignment horizontal="left"/>
    </xf>
    <xf numFmtId="177" fontId="0" fillId="0" borderId="0" xfId="0" applyNumberFormat="1" applyFont="1" applyAlignment="1">
      <alignment horizontal="left"/>
    </xf>
    <xf numFmtId="43" fontId="60" fillId="0" borderId="0" xfId="42" applyFont="1" applyAlignment="1">
      <alignment horizontal="left"/>
    </xf>
    <xf numFmtId="0" fontId="0" fillId="0" borderId="10" xfId="0" applyFont="1" applyBorder="1" applyAlignment="1">
      <alignment horizontal="left" wrapText="1"/>
    </xf>
    <xf numFmtId="173" fontId="0" fillId="0" borderId="0" xfId="45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60" fillId="35" borderId="22" xfId="0" applyFont="1" applyFill="1" applyBorder="1" applyAlignment="1">
      <alignment horizontal="left"/>
    </xf>
    <xf numFmtId="173" fontId="60" fillId="35" borderId="13" xfId="45" applyFont="1" applyFill="1" applyBorder="1" applyAlignment="1">
      <alignment horizontal="left"/>
    </xf>
    <xf numFmtId="0" fontId="60" fillId="35" borderId="22" xfId="0" applyFont="1" applyFill="1" applyBorder="1" applyAlignment="1">
      <alignment horizontal="left" wrapText="1"/>
    </xf>
    <xf numFmtId="0" fontId="66" fillId="35" borderId="23" xfId="0" applyFont="1" applyFill="1" applyBorder="1" applyAlignment="1">
      <alignment horizontal="left" wrapText="1"/>
    </xf>
    <xf numFmtId="0" fontId="0" fillId="35" borderId="20" xfId="0" applyFont="1" applyFill="1" applyBorder="1" applyAlignment="1">
      <alignment horizontal="left"/>
    </xf>
    <xf numFmtId="0" fontId="0" fillId="35" borderId="17" xfId="0" applyFont="1" applyFill="1" applyBorder="1" applyAlignment="1">
      <alignment horizontal="left"/>
    </xf>
    <xf numFmtId="10" fontId="0" fillId="0" borderId="0" xfId="63" applyNumberFormat="1" applyFont="1" applyFill="1" applyBorder="1" applyAlignment="1">
      <alignment/>
    </xf>
    <xf numFmtId="178" fontId="60" fillId="0" borderId="0" xfId="45" applyNumberFormat="1" applyFont="1" applyFill="1" applyBorder="1" applyAlignment="1">
      <alignment horizontal="left"/>
    </xf>
    <xf numFmtId="10" fontId="0" fillId="0" borderId="0" xfId="63" applyNumberFormat="1" applyFont="1" applyFill="1" applyBorder="1" applyAlignment="1">
      <alignment/>
    </xf>
    <xf numFmtId="9" fontId="60" fillId="0" borderId="0" xfId="63" applyFont="1" applyFill="1" applyBorder="1" applyAlignment="1">
      <alignment horizontal="left"/>
    </xf>
    <xf numFmtId="174" fontId="0" fillId="0" borderId="0" xfId="0" applyNumberFormat="1" applyFont="1" applyFill="1" applyBorder="1" applyAlignment="1">
      <alignment/>
    </xf>
    <xf numFmtId="176" fontId="60" fillId="0" borderId="0" xfId="63" applyNumberFormat="1" applyFont="1" applyFill="1" applyBorder="1" applyAlignment="1">
      <alignment horizontal="left"/>
    </xf>
    <xf numFmtId="10" fontId="60" fillId="0" borderId="0" xfId="63" applyNumberFormat="1" applyFont="1" applyFill="1" applyBorder="1" applyAlignment="1">
      <alignment horizontal="left"/>
    </xf>
    <xf numFmtId="10" fontId="0" fillId="0" borderId="0" xfId="63" applyNumberFormat="1" applyFont="1" applyFill="1" applyBorder="1" applyAlignment="1">
      <alignment horizontal="right"/>
    </xf>
    <xf numFmtId="173" fontId="66" fillId="35" borderId="20" xfId="45" applyFont="1" applyFill="1" applyBorder="1" applyAlignment="1">
      <alignment horizontal="left"/>
    </xf>
    <xf numFmtId="173" fontId="0" fillId="0" borderId="0" xfId="45" applyFont="1" applyFill="1" applyBorder="1" applyAlignment="1">
      <alignment horizontal="left"/>
    </xf>
    <xf numFmtId="176" fontId="0" fillId="0" borderId="0" xfId="63" applyNumberFormat="1" applyFont="1" applyFill="1" applyBorder="1" applyAlignment="1">
      <alignment horizontal="left" indent="2"/>
    </xf>
    <xf numFmtId="0" fontId="60" fillId="0" borderId="0" xfId="0" applyFont="1" applyFill="1" applyBorder="1" applyAlignment="1">
      <alignment horizontal="left"/>
    </xf>
    <xf numFmtId="173" fontId="60" fillId="0" borderId="0" xfId="45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60" fillId="0" borderId="0" xfId="0" applyFont="1" applyFill="1" applyBorder="1" applyAlignment="1">
      <alignment horizontal="left" wrapText="1"/>
    </xf>
    <xf numFmtId="173" fontId="66" fillId="0" borderId="0" xfId="45" applyFont="1" applyFill="1" applyBorder="1" applyAlignment="1">
      <alignment horizontal="left"/>
    </xf>
    <xf numFmtId="176" fontId="0" fillId="0" borderId="0" xfId="0" applyNumberFormat="1" applyFont="1" applyFill="1" applyBorder="1" applyAlignment="1">
      <alignment horizontal="left"/>
    </xf>
    <xf numFmtId="0" fontId="66" fillId="35" borderId="22" xfId="0" applyFont="1" applyFill="1" applyBorder="1" applyAlignment="1">
      <alignment horizontal="left" wrapText="1"/>
    </xf>
    <xf numFmtId="173" fontId="60" fillId="0" borderId="0" xfId="0" applyNumberFormat="1" applyFont="1" applyAlignment="1">
      <alignment horizontal="left"/>
    </xf>
    <xf numFmtId="184" fontId="0" fillId="0" borderId="0" xfId="45" applyNumberFormat="1" applyFont="1" applyBorder="1" applyAlignment="1">
      <alignment horizontal="left"/>
    </xf>
    <xf numFmtId="178" fontId="0" fillId="0" borderId="16" xfId="45" applyNumberFormat="1" applyFont="1" applyBorder="1" applyAlignment="1">
      <alignment horizontal="left"/>
    </xf>
    <xf numFmtId="178" fontId="0" fillId="0" borderId="0" xfId="45" applyNumberFormat="1" applyFont="1" applyBorder="1" applyAlignment="1">
      <alignment horizontal="left"/>
    </xf>
    <xf numFmtId="178" fontId="0" fillId="0" borderId="14" xfId="45" applyNumberFormat="1" applyFont="1" applyBorder="1" applyAlignment="1">
      <alignment horizontal="left"/>
    </xf>
    <xf numFmtId="178" fontId="0" fillId="35" borderId="13" xfId="45" applyNumberFormat="1" applyFont="1" applyFill="1" applyBorder="1" applyAlignment="1">
      <alignment horizontal="left"/>
    </xf>
    <xf numFmtId="0" fontId="0" fillId="35" borderId="13" xfId="0" applyFont="1" applyFill="1" applyBorder="1" applyAlignment="1">
      <alignment horizontal="left"/>
    </xf>
    <xf numFmtId="0" fontId="0" fillId="35" borderId="22" xfId="0" applyFont="1" applyFill="1" applyBorder="1" applyAlignment="1">
      <alignment horizontal="left"/>
    </xf>
    <xf numFmtId="178" fontId="60" fillId="0" borderId="0" xfId="0" applyNumberFormat="1" applyFont="1" applyAlignment="1">
      <alignment horizontal="left"/>
    </xf>
    <xf numFmtId="173" fontId="0" fillId="0" borderId="0" xfId="0" applyNumberFormat="1" applyFont="1" applyFill="1" applyBorder="1" applyAlignment="1">
      <alignment horizontal="left"/>
    </xf>
    <xf numFmtId="176" fontId="0" fillId="35" borderId="17" xfId="0" applyNumberFormat="1" applyFont="1" applyFill="1" applyBorder="1" applyAlignment="1">
      <alignment horizontal="center"/>
    </xf>
    <xf numFmtId="176" fontId="60" fillId="35" borderId="17" xfId="63" applyNumberFormat="1" applyFont="1" applyFill="1" applyBorder="1" applyAlignment="1">
      <alignment horizontal="center"/>
    </xf>
    <xf numFmtId="176" fontId="0" fillId="0" borderId="11" xfId="63" applyNumberFormat="1" applyFont="1" applyBorder="1" applyAlignment="1">
      <alignment horizontal="center"/>
    </xf>
    <xf numFmtId="173" fontId="67" fillId="0" borderId="0" xfId="45" applyFont="1" applyAlignment="1">
      <alignment horizontal="left"/>
    </xf>
    <xf numFmtId="174" fontId="0" fillId="0" borderId="0" xfId="0" applyNumberFormat="1" applyFont="1" applyFill="1" applyBorder="1" applyAlignment="1">
      <alignment horizontal="left"/>
    </xf>
    <xf numFmtId="178" fontId="0" fillId="0" borderId="0" xfId="0" applyNumberFormat="1" applyFont="1" applyFill="1" applyBorder="1" applyAlignment="1">
      <alignment horizontal="left"/>
    </xf>
    <xf numFmtId="178" fontId="6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0" fontId="60" fillId="0" borderId="0" xfId="63" applyNumberFormat="1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0" fillId="0" borderId="23" xfId="0" applyFont="1" applyBorder="1" applyAlignment="1">
      <alignment horizontal="left"/>
    </xf>
    <xf numFmtId="177" fontId="0" fillId="0" borderId="0" xfId="42" applyNumberFormat="1" applyFont="1" applyFill="1" applyBorder="1" applyAlignment="1">
      <alignment horizontal="left"/>
    </xf>
    <xf numFmtId="178" fontId="0" fillId="0" borderId="0" xfId="45" applyNumberFormat="1" applyFont="1" applyFill="1" applyBorder="1" applyAlignment="1">
      <alignment horizontal="left"/>
    </xf>
    <xf numFmtId="173" fontId="60" fillId="35" borderId="22" xfId="45" applyFont="1" applyFill="1" applyBorder="1" applyAlignment="1">
      <alignment horizontal="left"/>
    </xf>
    <xf numFmtId="178" fontId="66" fillId="35" borderId="22" xfId="45" applyNumberFormat="1" applyFont="1" applyFill="1" applyBorder="1" applyAlignment="1">
      <alignment horizontal="left"/>
    </xf>
    <xf numFmtId="178" fontId="0" fillId="0" borderId="18" xfId="45" applyNumberFormat="1" applyFont="1" applyBorder="1" applyAlignment="1">
      <alignment horizontal="left"/>
    </xf>
    <xf numFmtId="0" fontId="68" fillId="0" borderId="18" xfId="0" applyFont="1" applyBorder="1" applyAlignment="1">
      <alignment horizontal="left" wrapText="1"/>
    </xf>
    <xf numFmtId="173" fontId="68" fillId="0" borderId="0" xfId="45" applyFont="1" applyBorder="1" applyAlignment="1">
      <alignment horizontal="left"/>
    </xf>
    <xf numFmtId="176" fontId="68" fillId="0" borderId="11" xfId="63" applyNumberFormat="1" applyFont="1" applyBorder="1" applyAlignment="1">
      <alignment horizontal="center"/>
    </xf>
    <xf numFmtId="178" fontId="68" fillId="0" borderId="18" xfId="45" applyNumberFormat="1" applyFont="1" applyBorder="1" applyAlignment="1">
      <alignment horizontal="left"/>
    </xf>
    <xf numFmtId="173" fontId="60" fillId="35" borderId="13" xfId="45" applyNumberFormat="1" applyFont="1" applyFill="1" applyBorder="1" applyAlignment="1">
      <alignment horizontal="left"/>
    </xf>
    <xf numFmtId="173" fontId="60" fillId="0" borderId="0" xfId="0" applyNumberFormat="1" applyFont="1" applyFill="1" applyBorder="1" applyAlignment="1">
      <alignment horizontal="left"/>
    </xf>
    <xf numFmtId="174" fontId="0" fillId="33" borderId="17" xfId="0" applyNumberFormat="1" applyFont="1" applyFill="1" applyBorder="1" applyAlignment="1">
      <alignment horizontal="center"/>
    </xf>
    <xf numFmtId="9" fontId="0" fillId="0" borderId="11" xfId="63" applyNumberFormat="1" applyFont="1" applyFill="1" applyBorder="1" applyAlignment="1">
      <alignment horizontal="center"/>
    </xf>
    <xf numFmtId="9" fontId="60" fillId="0" borderId="17" xfId="63" applyFont="1" applyFill="1" applyBorder="1" applyAlignment="1">
      <alignment horizontal="center"/>
    </xf>
    <xf numFmtId="9" fontId="0" fillId="33" borderId="17" xfId="63" applyFont="1" applyFill="1" applyBorder="1" applyAlignment="1">
      <alignment horizontal="left"/>
    </xf>
    <xf numFmtId="176" fontId="0" fillId="0" borderId="11" xfId="63" applyNumberFormat="1" applyFont="1" applyFill="1" applyBorder="1" applyAlignment="1">
      <alignment horizontal="center"/>
    </xf>
    <xf numFmtId="176" fontId="60" fillId="0" borderId="17" xfId="63" applyNumberFormat="1" applyFont="1" applyFill="1" applyBorder="1" applyAlignment="1">
      <alignment horizontal="center"/>
    </xf>
    <xf numFmtId="176" fontId="0" fillId="0" borderId="11" xfId="63" applyNumberFormat="1" applyFont="1" applyFill="1" applyBorder="1" applyAlignment="1">
      <alignment horizontal="center"/>
    </xf>
    <xf numFmtId="9" fontId="0" fillId="0" borderId="11" xfId="63" applyFont="1" applyFill="1" applyBorder="1" applyAlignment="1">
      <alignment horizontal="center"/>
    </xf>
    <xf numFmtId="0" fontId="65" fillId="0" borderId="0" xfId="0" applyFont="1" applyFill="1" applyBorder="1" applyAlignment="1">
      <alignment vertical="center" wrapText="1"/>
    </xf>
    <xf numFmtId="9" fontId="60" fillId="0" borderId="0" xfId="63" applyFont="1" applyFill="1" applyBorder="1" applyAlignment="1">
      <alignment horizontal="center"/>
    </xf>
    <xf numFmtId="176" fontId="60" fillId="0" borderId="0" xfId="63" applyNumberFormat="1" applyFont="1" applyFill="1" applyBorder="1" applyAlignment="1">
      <alignment horizontal="center"/>
    </xf>
    <xf numFmtId="10" fontId="0" fillId="0" borderId="0" xfId="63" applyNumberFormat="1" applyFont="1" applyFill="1" applyBorder="1" applyAlignment="1">
      <alignment horizontal="right" vertical="center"/>
    </xf>
    <xf numFmtId="0" fontId="60" fillId="36" borderId="23" xfId="0" applyFont="1" applyFill="1" applyBorder="1" applyAlignment="1">
      <alignment horizontal="left" wrapText="1"/>
    </xf>
    <xf numFmtId="0" fontId="0" fillId="36" borderId="10" xfId="0" applyFont="1" applyFill="1" applyBorder="1" applyAlignment="1">
      <alignment horizontal="left" vertical="center" wrapText="1"/>
    </xf>
    <xf numFmtId="0" fontId="0" fillId="36" borderId="21" xfId="0" applyFont="1" applyFill="1" applyBorder="1" applyAlignment="1">
      <alignment horizontal="left" vertical="center" wrapText="1"/>
    </xf>
    <xf numFmtId="0" fontId="60" fillId="35" borderId="20" xfId="0" applyFont="1" applyFill="1" applyBorder="1" applyAlignment="1">
      <alignment/>
    </xf>
    <xf numFmtId="0" fontId="60" fillId="35" borderId="13" xfId="0" applyFont="1" applyFill="1" applyBorder="1" applyAlignment="1">
      <alignment/>
    </xf>
    <xf numFmtId="0" fontId="60" fillId="35" borderId="17" xfId="0" applyFont="1" applyFill="1" applyBorder="1" applyAlignment="1">
      <alignment/>
    </xf>
    <xf numFmtId="0" fontId="0" fillId="0" borderId="11" xfId="0" applyFont="1" applyBorder="1" applyAlignment="1">
      <alignment textRotation="90"/>
    </xf>
    <xf numFmtId="177" fontId="0" fillId="0" borderId="0" xfId="42" applyNumberFormat="1" applyFont="1" applyFill="1" applyBorder="1" applyAlignment="1">
      <alignment/>
    </xf>
    <xf numFmtId="177" fontId="4" fillId="0" borderId="0" xfId="42" applyNumberFormat="1" applyFont="1" applyFill="1" applyBorder="1" applyAlignment="1">
      <alignment/>
    </xf>
    <xf numFmtId="177" fontId="0" fillId="0" borderId="14" xfId="42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5" fontId="0" fillId="0" borderId="10" xfId="0" applyNumberFormat="1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175" fontId="0" fillId="0" borderId="11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175" fontId="0" fillId="0" borderId="21" xfId="0" applyNumberFormat="1" applyFont="1" applyFill="1" applyBorder="1" applyAlignment="1">
      <alignment/>
    </xf>
    <xf numFmtId="175" fontId="0" fillId="0" borderId="14" xfId="0" applyNumberFormat="1" applyFont="1" applyFill="1" applyBorder="1" applyAlignment="1">
      <alignment/>
    </xf>
    <xf numFmtId="175" fontId="0" fillId="0" borderId="12" xfId="0" applyNumberFormat="1" applyFont="1" applyFill="1" applyBorder="1" applyAlignment="1">
      <alignment/>
    </xf>
    <xf numFmtId="176" fontId="0" fillId="0" borderId="0" xfId="63" applyNumberFormat="1" applyFont="1" applyFill="1" applyBorder="1" applyAlignment="1">
      <alignment/>
    </xf>
    <xf numFmtId="9" fontId="0" fillId="0" borderId="0" xfId="63" applyNumberFormat="1" applyFont="1" applyFill="1" applyBorder="1" applyAlignment="1">
      <alignment/>
    </xf>
    <xf numFmtId="172" fontId="0" fillId="0" borderId="0" xfId="0" applyNumberFormat="1" applyFont="1" applyFill="1" applyAlignment="1">
      <alignment horizontal="left"/>
    </xf>
    <xf numFmtId="178" fontId="0" fillId="0" borderId="0" xfId="0" applyNumberFormat="1" applyFont="1" applyFill="1" applyAlignment="1">
      <alignment horizontal="left"/>
    </xf>
    <xf numFmtId="176" fontId="0" fillId="0" borderId="14" xfId="63" applyNumberFormat="1" applyFont="1" applyFill="1" applyBorder="1" applyAlignment="1">
      <alignment/>
    </xf>
    <xf numFmtId="176" fontId="0" fillId="0" borderId="13" xfId="63" applyNumberFormat="1" applyFont="1" applyFill="1" applyBorder="1" applyAlignment="1">
      <alignment horizontal="right"/>
    </xf>
    <xf numFmtId="187" fontId="0" fillId="0" borderId="0" xfId="0" applyNumberFormat="1" applyFont="1" applyAlignment="1">
      <alignment horizontal="left"/>
    </xf>
    <xf numFmtId="188" fontId="0" fillId="0" borderId="0" xfId="0" applyNumberFormat="1" applyFont="1" applyAlignment="1">
      <alignment horizontal="left"/>
    </xf>
    <xf numFmtId="0" fontId="60" fillId="35" borderId="20" xfId="0" applyFont="1" applyFill="1" applyBorder="1" applyAlignment="1" quotePrefix="1">
      <alignment/>
    </xf>
    <xf numFmtId="176" fontId="0" fillId="0" borderId="24" xfId="63" applyNumberFormat="1" applyFont="1" applyBorder="1" applyAlignment="1">
      <alignment horizontal="left"/>
    </xf>
    <xf numFmtId="176" fontId="0" fillId="0" borderId="11" xfId="63" applyNumberFormat="1" applyFont="1" applyFill="1" applyBorder="1" applyAlignment="1">
      <alignment horizontal="left"/>
    </xf>
    <xf numFmtId="176" fontId="0" fillId="0" borderId="11" xfId="63" applyNumberFormat="1" applyFont="1" applyBorder="1" applyAlignment="1">
      <alignment horizontal="left"/>
    </xf>
    <xf numFmtId="176" fontId="0" fillId="33" borderId="11" xfId="63" applyNumberFormat="1" applyFont="1" applyFill="1" applyBorder="1" applyAlignment="1">
      <alignment horizontal="left"/>
    </xf>
    <xf numFmtId="176" fontId="0" fillId="33" borderId="12" xfId="63" applyNumberFormat="1" applyFont="1" applyFill="1" applyBorder="1" applyAlignment="1">
      <alignment horizontal="left"/>
    </xf>
    <xf numFmtId="176" fontId="0" fillId="0" borderId="11" xfId="63" applyNumberFormat="1" applyFont="1" applyBorder="1" applyAlignment="1">
      <alignment horizontal="left"/>
    </xf>
    <xf numFmtId="0" fontId="0" fillId="0" borderId="22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69" fillId="0" borderId="10" xfId="0" applyFont="1" applyBorder="1" applyAlignment="1">
      <alignment horizontal="left" wrapText="1"/>
    </xf>
    <xf numFmtId="9" fontId="0" fillId="0" borderId="18" xfId="63" applyFont="1" applyFill="1" applyBorder="1" applyAlignment="1">
      <alignment horizontal="right"/>
    </xf>
    <xf numFmtId="174" fontId="0" fillId="33" borderId="13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9" fontId="0" fillId="0" borderId="0" xfId="0" applyNumberFormat="1" applyFont="1" applyBorder="1" applyAlignment="1">
      <alignment horizontal="center"/>
    </xf>
    <xf numFmtId="176" fontId="0" fillId="0" borderId="0" xfId="0" applyNumberFormat="1" applyFont="1" applyBorder="1" applyAlignment="1">
      <alignment horizontal="center"/>
    </xf>
    <xf numFmtId="9" fontId="0" fillId="0" borderId="0" xfId="63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89" fontId="0" fillId="0" borderId="0" xfId="0" applyNumberFormat="1" applyFont="1" applyAlignment="1">
      <alignment horizontal="left"/>
    </xf>
    <xf numFmtId="176" fontId="0" fillId="0" borderId="0" xfId="63" applyNumberFormat="1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37" borderId="0" xfId="60" applyFont="1" applyFill="1" applyBorder="1" applyAlignment="1">
      <alignment wrapText="1"/>
      <protection/>
    </xf>
    <xf numFmtId="0" fontId="4" fillId="37" borderId="0" xfId="60" applyFont="1" applyFill="1" applyBorder="1" applyAlignment="1">
      <alignment horizontal="center" wrapText="1"/>
      <protection/>
    </xf>
    <xf numFmtId="9" fontId="4" fillId="37" borderId="0" xfId="64" applyFont="1" applyFill="1" applyBorder="1" applyAlignment="1">
      <alignment horizontal="center" wrapText="1"/>
    </xf>
    <xf numFmtId="9" fontId="34" fillId="37" borderId="0" xfId="64" applyFont="1" applyFill="1" applyBorder="1" applyAlignment="1">
      <alignment horizontal="center" wrapText="1"/>
    </xf>
    <xf numFmtId="0" fontId="34" fillId="37" borderId="0" xfId="60" applyFont="1" applyFill="1" applyBorder="1" applyAlignment="1">
      <alignment wrapText="1"/>
      <protection/>
    </xf>
    <xf numFmtId="0" fontId="34" fillId="37" borderId="0" xfId="60" applyFont="1" applyFill="1" applyBorder="1" applyAlignment="1">
      <alignment horizontal="center" wrapText="1"/>
      <protection/>
    </xf>
    <xf numFmtId="174" fontId="34" fillId="37" borderId="0" xfId="60" applyNumberFormat="1" applyFont="1" applyFill="1" applyBorder="1" applyAlignment="1">
      <alignment horizontal="center" wrapText="1"/>
      <protection/>
    </xf>
    <xf numFmtId="0" fontId="35" fillId="37" borderId="0" xfId="60" applyFont="1" applyFill="1" applyBorder="1" applyAlignment="1">
      <alignment wrapText="1"/>
      <protection/>
    </xf>
    <xf numFmtId="174" fontId="4" fillId="37" borderId="0" xfId="60" applyNumberFormat="1" applyFont="1" applyFill="1" applyBorder="1" applyAlignment="1">
      <alignment horizontal="center" wrapText="1"/>
      <protection/>
    </xf>
    <xf numFmtId="43" fontId="4" fillId="37" borderId="0" xfId="44" applyFont="1" applyFill="1" applyBorder="1" applyAlignment="1">
      <alignment horizontal="center" wrapText="1"/>
    </xf>
    <xf numFmtId="43" fontId="34" fillId="37" borderId="0" xfId="44" applyFont="1" applyFill="1" applyBorder="1" applyAlignment="1">
      <alignment horizontal="center" wrapText="1"/>
    </xf>
    <xf numFmtId="174" fontId="4" fillId="37" borderId="0" xfId="44" applyNumberFormat="1" applyFont="1" applyFill="1" applyBorder="1" applyAlignment="1">
      <alignment horizontal="center" wrapText="1"/>
    </xf>
    <xf numFmtId="173" fontId="34" fillId="37" borderId="0" xfId="48" applyFont="1" applyFill="1" applyBorder="1" applyAlignment="1">
      <alignment horizontal="center" wrapText="1"/>
    </xf>
    <xf numFmtId="43" fontId="4" fillId="37" borderId="0" xfId="60" applyNumberFormat="1" applyFont="1" applyFill="1" applyBorder="1" applyAlignment="1">
      <alignment horizontal="center" wrapText="1"/>
      <protection/>
    </xf>
    <xf numFmtId="0" fontId="35" fillId="37" borderId="0" xfId="60" applyFont="1" applyFill="1" applyBorder="1" applyAlignment="1" quotePrefix="1">
      <alignment wrapText="1"/>
      <protection/>
    </xf>
    <xf numFmtId="174" fontId="4" fillId="37" borderId="0" xfId="60" applyNumberFormat="1" applyFont="1" applyFill="1" applyBorder="1" applyAlignment="1">
      <alignment wrapText="1"/>
      <protection/>
    </xf>
    <xf numFmtId="174" fontId="34" fillId="37" borderId="0" xfId="48" applyNumberFormat="1" applyFont="1" applyFill="1" applyBorder="1" applyAlignment="1">
      <alignment horizontal="center" wrapText="1"/>
    </xf>
    <xf numFmtId="175" fontId="4" fillId="37" borderId="0" xfId="48" applyNumberFormat="1" applyFont="1" applyFill="1" applyBorder="1" applyAlignment="1">
      <alignment horizontal="center" wrapText="1"/>
    </xf>
    <xf numFmtId="190" fontId="4" fillId="37" borderId="0" xfId="60" applyNumberFormat="1" applyFont="1" applyFill="1" applyBorder="1" applyAlignment="1">
      <alignment horizontal="center" wrapText="1"/>
      <protection/>
    </xf>
    <xf numFmtId="1" fontId="4" fillId="37" borderId="0" xfId="60" applyNumberFormat="1" applyFont="1" applyFill="1" applyBorder="1" applyAlignment="1">
      <alignment horizontal="center" wrapText="1"/>
      <protection/>
    </xf>
    <xf numFmtId="179" fontId="4" fillId="37" borderId="0" xfId="44" applyNumberFormat="1" applyFont="1" applyFill="1" applyBorder="1" applyAlignment="1">
      <alignment horizontal="center" wrapText="1"/>
    </xf>
    <xf numFmtId="191" fontId="4" fillId="37" borderId="0" xfId="44" applyNumberFormat="1" applyFont="1" applyFill="1" applyBorder="1" applyAlignment="1">
      <alignment horizontal="center" wrapText="1"/>
    </xf>
    <xf numFmtId="192" fontId="4" fillId="37" borderId="0" xfId="44" applyNumberFormat="1" applyFont="1" applyFill="1" applyBorder="1" applyAlignment="1">
      <alignment horizontal="center" wrapText="1"/>
    </xf>
    <xf numFmtId="174" fontId="34" fillId="37" borderId="0" xfId="60" applyNumberFormat="1" applyFont="1" applyFill="1" applyBorder="1" applyAlignment="1">
      <alignment wrapText="1"/>
      <protection/>
    </xf>
    <xf numFmtId="178" fontId="34" fillId="37" borderId="0" xfId="48" applyNumberFormat="1" applyFont="1" applyFill="1" applyBorder="1" applyAlignment="1">
      <alignment horizontal="center" wrapText="1"/>
    </xf>
    <xf numFmtId="49" fontId="35" fillId="37" borderId="0" xfId="60" applyNumberFormat="1" applyFont="1" applyFill="1" applyBorder="1" applyAlignment="1" quotePrefix="1">
      <alignment wrapText="1"/>
      <protection/>
    </xf>
    <xf numFmtId="174" fontId="0" fillId="0" borderId="15" xfId="45" applyNumberFormat="1" applyFont="1" applyBorder="1" applyAlignment="1">
      <alignment horizontal="left"/>
    </xf>
    <xf numFmtId="174" fontId="0" fillId="0" borderId="16" xfId="45" applyNumberFormat="1" applyFont="1" applyBorder="1" applyAlignment="1">
      <alignment horizontal="left"/>
    </xf>
    <xf numFmtId="174" fontId="0" fillId="0" borderId="0" xfId="45" applyNumberFormat="1" applyFont="1" applyBorder="1" applyAlignment="1">
      <alignment horizontal="left"/>
    </xf>
    <xf numFmtId="174" fontId="0" fillId="0" borderId="0" xfId="45" applyNumberFormat="1" applyFont="1" applyFill="1" applyBorder="1" applyAlignment="1">
      <alignment horizontal="left"/>
    </xf>
    <xf numFmtId="174" fontId="0" fillId="0" borderId="10" xfId="45" applyNumberFormat="1" applyFont="1" applyFill="1" applyBorder="1" applyAlignment="1">
      <alignment horizontal="left"/>
    </xf>
    <xf numFmtId="175" fontId="0" fillId="0" borderId="15" xfId="45" applyNumberFormat="1" applyFont="1" applyBorder="1" applyAlignment="1">
      <alignment horizontal="left"/>
    </xf>
    <xf numFmtId="175" fontId="0" fillId="0" borderId="16" xfId="45" applyNumberFormat="1" applyFont="1" applyBorder="1" applyAlignment="1">
      <alignment horizontal="left"/>
    </xf>
    <xf numFmtId="175" fontId="0" fillId="0" borderId="10" xfId="45" applyNumberFormat="1" applyFont="1" applyBorder="1" applyAlignment="1">
      <alignment horizontal="left"/>
    </xf>
    <xf numFmtId="175" fontId="0" fillId="0" borderId="0" xfId="45" applyNumberFormat="1" applyFont="1" applyBorder="1" applyAlignment="1">
      <alignment horizontal="left"/>
    </xf>
    <xf numFmtId="175" fontId="4" fillId="0" borderId="10" xfId="45" applyNumberFormat="1" applyFont="1" applyFill="1" applyBorder="1" applyAlignment="1">
      <alignment horizontal="left"/>
    </xf>
    <xf numFmtId="175" fontId="4" fillId="0" borderId="0" xfId="45" applyNumberFormat="1" applyFont="1" applyFill="1" applyBorder="1" applyAlignment="1">
      <alignment horizontal="left"/>
    </xf>
    <xf numFmtId="175" fontId="0" fillId="0" borderId="0" xfId="45" applyNumberFormat="1" applyFont="1" applyBorder="1" applyAlignment="1">
      <alignment horizontal="left"/>
    </xf>
    <xf numFmtId="175" fontId="4" fillId="0" borderId="0" xfId="0" applyNumberFormat="1" applyFont="1" applyFill="1" applyBorder="1" applyAlignment="1">
      <alignment horizontal="left"/>
    </xf>
    <xf numFmtId="175" fontId="0" fillId="0" borderId="0" xfId="45" applyNumberFormat="1" applyFont="1" applyFill="1" applyBorder="1" applyAlignment="1">
      <alignment horizontal="left"/>
    </xf>
    <xf numFmtId="175" fontId="0" fillId="0" borderId="10" xfId="45" applyNumberFormat="1" applyFont="1" applyFill="1" applyBorder="1" applyAlignment="1">
      <alignment horizontal="left"/>
    </xf>
    <xf numFmtId="175" fontId="0" fillId="33" borderId="10" xfId="45" applyNumberFormat="1" applyFont="1" applyFill="1" applyBorder="1" applyAlignment="1">
      <alignment horizontal="left"/>
    </xf>
    <xf numFmtId="175" fontId="0" fillId="33" borderId="0" xfId="45" applyNumberFormat="1" applyFont="1" applyFill="1" applyBorder="1" applyAlignment="1">
      <alignment horizontal="left"/>
    </xf>
    <xf numFmtId="175" fontId="0" fillId="33" borderId="21" xfId="45" applyNumberFormat="1" applyFont="1" applyFill="1" applyBorder="1" applyAlignment="1">
      <alignment horizontal="left"/>
    </xf>
    <xf numFmtId="175" fontId="0" fillId="33" borderId="14" xfId="45" applyNumberFormat="1" applyFont="1" applyFill="1" applyBorder="1" applyAlignment="1">
      <alignment horizontal="left"/>
    </xf>
    <xf numFmtId="174" fontId="61" fillId="34" borderId="0" xfId="45" applyNumberFormat="1" applyFont="1" applyFill="1" applyBorder="1" applyAlignment="1">
      <alignment/>
    </xf>
    <xf numFmtId="0" fontId="70" fillId="34" borderId="0" xfId="0" applyFont="1" applyFill="1" applyBorder="1" applyAlignment="1">
      <alignment/>
    </xf>
    <xf numFmtId="174" fontId="0" fillId="0" borderId="24" xfId="45" applyNumberFormat="1" applyFont="1" applyBorder="1" applyAlignment="1">
      <alignment horizontal="left"/>
    </xf>
    <xf numFmtId="174" fontId="0" fillId="0" borderId="11" xfId="45" applyNumberFormat="1" applyFont="1" applyFill="1" applyBorder="1" applyAlignment="1">
      <alignment horizontal="left"/>
    </xf>
    <xf numFmtId="174" fontId="0" fillId="0" borderId="11" xfId="45" applyNumberFormat="1" applyFont="1" applyBorder="1" applyAlignment="1">
      <alignment horizontal="left"/>
    </xf>
    <xf numFmtId="175" fontId="0" fillId="0" borderId="24" xfId="45" applyNumberFormat="1" applyFont="1" applyBorder="1" applyAlignment="1">
      <alignment horizontal="left"/>
    </xf>
    <xf numFmtId="175" fontId="0" fillId="0" borderId="11" xfId="45" applyNumberFormat="1" applyFont="1" applyBorder="1" applyAlignment="1">
      <alignment horizontal="left"/>
    </xf>
    <xf numFmtId="175" fontId="0" fillId="0" borderId="11" xfId="45" applyNumberFormat="1" applyFont="1" applyFill="1" applyBorder="1" applyAlignment="1">
      <alignment horizontal="left"/>
    </xf>
    <xf numFmtId="175" fontId="0" fillId="0" borderId="11" xfId="45" applyNumberFormat="1" applyFont="1" applyBorder="1" applyAlignment="1">
      <alignment horizontal="left"/>
    </xf>
    <xf numFmtId="175" fontId="0" fillId="33" borderId="11" xfId="45" applyNumberFormat="1" applyFont="1" applyFill="1" applyBorder="1" applyAlignment="1">
      <alignment horizontal="left"/>
    </xf>
    <xf numFmtId="175" fontId="0" fillId="33" borderId="12" xfId="45" applyNumberFormat="1" applyFont="1" applyFill="1" applyBorder="1" applyAlignment="1">
      <alignment horizontal="left"/>
    </xf>
    <xf numFmtId="174" fontId="0" fillId="0" borderId="13" xfId="45" applyNumberFormat="1" applyFont="1" applyBorder="1" applyAlignment="1">
      <alignment/>
    </xf>
    <xf numFmtId="174" fontId="0" fillId="0" borderId="17" xfId="45" applyNumberFormat="1" applyFont="1" applyBorder="1" applyAlignment="1">
      <alignment/>
    </xf>
    <xf numFmtId="175" fontId="0" fillId="0" borderId="13" xfId="0" applyNumberFormat="1" applyFont="1" applyBorder="1" applyAlignment="1">
      <alignment horizontal="left"/>
    </xf>
    <xf numFmtId="175" fontId="0" fillId="0" borderId="13" xfId="45" applyNumberFormat="1" applyFont="1" applyBorder="1" applyAlignment="1">
      <alignment/>
    </xf>
    <xf numFmtId="175" fontId="0" fillId="0" borderId="17" xfId="45" applyNumberFormat="1" applyFont="1" applyBorder="1" applyAlignment="1">
      <alignment/>
    </xf>
    <xf numFmtId="174" fontId="0" fillId="0" borderId="10" xfId="45" applyNumberFormat="1" applyFont="1" applyFill="1" applyBorder="1" applyAlignment="1">
      <alignment/>
    </xf>
    <xf numFmtId="174" fontId="0" fillId="0" borderId="20" xfId="45" applyNumberFormat="1" applyFont="1" applyBorder="1" applyAlignment="1">
      <alignment/>
    </xf>
    <xf numFmtId="174" fontId="0" fillId="0" borderId="10" xfId="45" applyNumberFormat="1" applyFont="1" applyBorder="1" applyAlignment="1">
      <alignment horizontal="left"/>
    </xf>
    <xf numFmtId="174" fontId="0" fillId="0" borderId="21" xfId="45" applyNumberFormat="1" applyFont="1" applyFill="1" applyBorder="1" applyAlignment="1">
      <alignment horizontal="left"/>
    </xf>
    <xf numFmtId="174" fontId="0" fillId="0" borderId="14" xfId="45" applyNumberFormat="1" applyFont="1" applyFill="1" applyBorder="1" applyAlignment="1">
      <alignment horizontal="left"/>
    </xf>
    <xf numFmtId="174" fontId="0" fillId="0" borderId="12" xfId="45" applyNumberFormat="1" applyFont="1" applyFill="1" applyBorder="1" applyAlignment="1">
      <alignment horizontal="left"/>
    </xf>
    <xf numFmtId="174" fontId="0" fillId="0" borderId="20" xfId="45" applyNumberFormat="1" applyFont="1" applyFill="1" applyBorder="1" applyAlignment="1">
      <alignment horizontal="right"/>
    </xf>
    <xf numFmtId="174" fontId="0" fillId="0" borderId="13" xfId="45" applyNumberFormat="1" applyFont="1" applyFill="1" applyBorder="1" applyAlignment="1">
      <alignment horizontal="right"/>
    </xf>
    <xf numFmtId="174" fontId="0" fillId="0" borderId="17" xfId="45" applyNumberFormat="1" applyFont="1" applyFill="1" applyBorder="1" applyAlignment="1">
      <alignment horizontal="right"/>
    </xf>
    <xf numFmtId="174" fontId="0" fillId="0" borderId="18" xfId="0" applyNumberFormat="1" applyFont="1" applyBorder="1" applyAlignment="1">
      <alignment/>
    </xf>
    <xf numFmtId="174" fontId="0" fillId="0" borderId="18" xfId="0" applyNumberFormat="1" applyFont="1" applyFill="1" applyBorder="1" applyAlignment="1">
      <alignment/>
    </xf>
    <xf numFmtId="174" fontId="0" fillId="0" borderId="22" xfId="45" applyNumberFormat="1" applyFont="1" applyFill="1" applyBorder="1" applyAlignment="1">
      <alignment horizontal="right"/>
    </xf>
    <xf numFmtId="174" fontId="0" fillId="0" borderId="16" xfId="0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174" fontId="0" fillId="0" borderId="14" xfId="0" applyNumberFormat="1" applyFont="1" applyFill="1" applyBorder="1" applyAlignment="1">
      <alignment/>
    </xf>
    <xf numFmtId="174" fontId="0" fillId="0" borderId="21" xfId="0" applyNumberFormat="1" applyFont="1" applyFill="1" applyBorder="1" applyAlignment="1">
      <alignment/>
    </xf>
    <xf numFmtId="174" fontId="0" fillId="0" borderId="12" xfId="45" applyNumberFormat="1" applyFont="1" applyFill="1" applyBorder="1" applyAlignment="1">
      <alignment horizontal="right"/>
    </xf>
    <xf numFmtId="174" fontId="0" fillId="0" borderId="11" xfId="0" applyNumberFormat="1" applyFont="1" applyFill="1" applyBorder="1" applyAlignment="1">
      <alignment/>
    </xf>
    <xf numFmtId="174" fontId="0" fillId="0" borderId="12" xfId="0" applyNumberFormat="1" applyFont="1" applyFill="1" applyBorder="1" applyAlignment="1">
      <alignment/>
    </xf>
    <xf numFmtId="174" fontId="0" fillId="0" borderId="0" xfId="45" applyNumberFormat="1" applyFont="1" applyFill="1" applyBorder="1" applyAlignment="1">
      <alignment horizontal="right"/>
    </xf>
    <xf numFmtId="175" fontId="0" fillId="0" borderId="0" xfId="45" applyNumberFormat="1" applyFont="1" applyFill="1" applyBorder="1" applyAlignment="1">
      <alignment/>
    </xf>
    <xf numFmtId="175" fontId="0" fillId="0" borderId="14" xfId="45" applyNumberFormat="1" applyFont="1" applyFill="1" applyBorder="1" applyAlignment="1">
      <alignment/>
    </xf>
    <xf numFmtId="174" fontId="60" fillId="0" borderId="20" xfId="45" applyNumberFormat="1" applyFont="1" applyFill="1" applyBorder="1" applyAlignment="1">
      <alignment horizontal="left"/>
    </xf>
    <xf numFmtId="174" fontId="0" fillId="0" borderId="14" xfId="45" applyNumberFormat="1" applyFont="1" applyBorder="1" applyAlignment="1">
      <alignment horizontal="left"/>
    </xf>
    <xf numFmtId="175" fontId="0" fillId="0" borderId="18" xfId="45" applyNumberFormat="1" applyFont="1" applyFill="1" applyBorder="1" applyAlignment="1">
      <alignment horizontal="left"/>
    </xf>
    <xf numFmtId="175" fontId="0" fillId="0" borderId="10" xfId="45" applyNumberFormat="1" applyFont="1" applyFill="1" applyBorder="1" applyAlignment="1">
      <alignment horizontal="left"/>
    </xf>
    <xf numFmtId="175" fontId="60" fillId="0" borderId="20" xfId="45" applyNumberFormat="1" applyFont="1" applyFill="1" applyBorder="1" applyAlignment="1">
      <alignment horizontal="left"/>
    </xf>
    <xf numFmtId="174" fontId="0" fillId="0" borderId="21" xfId="45" applyNumberFormat="1" applyFont="1" applyBorder="1" applyAlignment="1">
      <alignment horizontal="left"/>
    </xf>
    <xf numFmtId="9" fontId="0" fillId="37" borderId="11" xfId="63" applyFont="1" applyFill="1" applyBorder="1" applyAlignment="1">
      <alignment/>
    </xf>
    <xf numFmtId="9" fontId="0" fillId="37" borderId="12" xfId="63" applyFont="1" applyFill="1" applyBorder="1" applyAlignment="1">
      <alignment/>
    </xf>
    <xf numFmtId="174" fontId="0" fillId="37" borderId="17" xfId="45" applyNumberFormat="1" applyFont="1" applyFill="1" applyBorder="1" applyAlignment="1">
      <alignment horizontal="left"/>
    </xf>
    <xf numFmtId="174" fontId="0" fillId="37" borderId="11" xfId="0" applyNumberFormat="1" applyFont="1" applyFill="1" applyBorder="1" applyAlignment="1">
      <alignment/>
    </xf>
    <xf numFmtId="174" fontId="0" fillId="37" borderId="12" xfId="0" applyNumberFormat="1" applyFont="1" applyFill="1" applyBorder="1" applyAlignment="1">
      <alignment/>
    </xf>
    <xf numFmtId="174" fontId="0" fillId="37" borderId="17" xfId="45" applyNumberFormat="1" applyFont="1" applyFill="1" applyBorder="1" applyAlignment="1">
      <alignment horizontal="right"/>
    </xf>
    <xf numFmtId="0" fontId="0" fillId="38" borderId="0" xfId="0" applyFont="1" applyFill="1" applyAlignment="1">
      <alignment/>
    </xf>
    <xf numFmtId="0" fontId="71" fillId="0" borderId="0" xfId="0" applyFont="1" applyAlignment="1">
      <alignment/>
    </xf>
    <xf numFmtId="0" fontId="52" fillId="0" borderId="0" xfId="56" applyAlignment="1" applyProtection="1">
      <alignment/>
      <protection/>
    </xf>
    <xf numFmtId="0" fontId="70" fillId="37" borderId="0" xfId="60" applyNumberFormat="1" applyFont="1" applyFill="1" applyBorder="1" applyAlignment="1">
      <alignment horizontal="center" wrapText="1"/>
      <protection/>
    </xf>
    <xf numFmtId="0" fontId="70" fillId="37" borderId="0" xfId="64" applyNumberFormat="1" applyFont="1" applyFill="1" applyBorder="1" applyAlignment="1">
      <alignment horizontal="center" wrapText="1"/>
    </xf>
    <xf numFmtId="0" fontId="70" fillId="39" borderId="0" xfId="60" applyNumberFormat="1" applyFont="1" applyFill="1" applyBorder="1" applyAlignment="1">
      <alignment horizontal="center" wrapText="1"/>
      <protection/>
    </xf>
    <xf numFmtId="1" fontId="70" fillId="37" borderId="0" xfId="64" applyNumberFormat="1" applyFont="1" applyFill="1" applyBorder="1" applyAlignment="1">
      <alignment horizontal="center"/>
    </xf>
    <xf numFmtId="0" fontId="70" fillId="37" borderId="0" xfId="64" applyNumberFormat="1" applyFont="1" applyFill="1" applyBorder="1" applyAlignment="1">
      <alignment horizontal="center"/>
    </xf>
    <xf numFmtId="174" fontId="0" fillId="37" borderId="10" xfId="0" applyNumberFormat="1" applyFont="1" applyFill="1" applyBorder="1" applyAlignment="1">
      <alignment/>
    </xf>
    <xf numFmtId="174" fontId="0" fillId="37" borderId="0" xfId="0" applyNumberFormat="1" applyFont="1" applyFill="1" applyBorder="1" applyAlignment="1">
      <alignment/>
    </xf>
    <xf numFmtId="43" fontId="0" fillId="0" borderId="0" xfId="42" applyFont="1" applyFill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181" fontId="0" fillId="0" borderId="16" xfId="0" applyNumberFormat="1" applyFont="1" applyFill="1" applyBorder="1" applyAlignment="1">
      <alignment horizontal="right"/>
    </xf>
    <xf numFmtId="175" fontId="0" fillId="0" borderId="16" xfId="45" applyNumberFormat="1" applyFont="1" applyFill="1" applyBorder="1" applyAlignment="1">
      <alignment/>
    </xf>
    <xf numFmtId="175" fontId="0" fillId="0" borderId="16" xfId="0" applyNumberFormat="1" applyFont="1" applyFill="1" applyBorder="1" applyAlignment="1">
      <alignment/>
    </xf>
    <xf numFmtId="175" fontId="0" fillId="0" borderId="24" xfId="0" applyNumberFormat="1" applyFont="1" applyFill="1" applyBorder="1" applyAlignment="1">
      <alignment/>
    </xf>
    <xf numFmtId="181" fontId="0" fillId="0" borderId="24" xfId="0" applyNumberFormat="1" applyFont="1" applyFill="1" applyBorder="1" applyAlignment="1">
      <alignment horizontal="right"/>
    </xf>
    <xf numFmtId="0" fontId="72" fillId="0" borderId="0" xfId="0" applyFont="1" applyFill="1" applyAlignment="1">
      <alignment horizontal="left"/>
    </xf>
    <xf numFmtId="174" fontId="72" fillId="0" borderId="0" xfId="45" applyNumberFormat="1" applyFont="1" applyFill="1" applyAlignment="1">
      <alignment horizontal="left"/>
    </xf>
    <xf numFmtId="3" fontId="5" fillId="37" borderId="0" xfId="0" applyNumberFormat="1" applyFont="1" applyFill="1" applyBorder="1" applyAlignment="1">
      <alignment/>
    </xf>
    <xf numFmtId="3" fontId="5" fillId="37" borderId="14" xfId="0" applyNumberFormat="1" applyFont="1" applyFill="1" applyBorder="1" applyAlignment="1">
      <alignment/>
    </xf>
    <xf numFmtId="175" fontId="5" fillId="37" borderId="0" xfId="0" applyNumberFormat="1" applyFont="1" applyFill="1" applyBorder="1" applyAlignment="1">
      <alignment/>
    </xf>
    <xf numFmtId="175" fontId="5" fillId="37" borderId="14" xfId="0" applyNumberFormat="1" applyFont="1" applyFill="1" applyBorder="1" applyAlignment="1">
      <alignment/>
    </xf>
    <xf numFmtId="175" fontId="5" fillId="37" borderId="11" xfId="0" applyNumberFormat="1" applyFont="1" applyFill="1" applyBorder="1" applyAlignment="1">
      <alignment/>
    </xf>
    <xf numFmtId="175" fontId="5" fillId="37" borderId="12" xfId="0" applyNumberFormat="1" applyFont="1" applyFill="1" applyBorder="1" applyAlignment="1">
      <alignment/>
    </xf>
    <xf numFmtId="3" fontId="39" fillId="37" borderId="18" xfId="0" applyNumberFormat="1" applyFont="1" applyFill="1" applyBorder="1" applyAlignment="1">
      <alignment/>
    </xf>
    <xf numFmtId="3" fontId="39" fillId="37" borderId="19" xfId="0" applyNumberFormat="1" applyFont="1" applyFill="1" applyBorder="1" applyAlignment="1">
      <alignment/>
    </xf>
    <xf numFmtId="0" fontId="0" fillId="0" borderId="18" xfId="0" applyFont="1" applyFill="1" applyBorder="1" applyAlignment="1">
      <alignment horizontal="left" wrapText="1"/>
    </xf>
    <xf numFmtId="177" fontId="0" fillId="0" borderId="15" xfId="42" applyNumberFormat="1" applyFont="1" applyFill="1" applyBorder="1" applyAlignment="1">
      <alignment horizontal="left"/>
    </xf>
    <xf numFmtId="177" fontId="0" fillId="0" borderId="10" xfId="42" applyNumberFormat="1" applyFont="1" applyFill="1" applyBorder="1" applyAlignment="1">
      <alignment horizontal="left"/>
    </xf>
    <xf numFmtId="177" fontId="0" fillId="0" borderId="21" xfId="42" applyNumberFormat="1" applyFont="1" applyFill="1" applyBorder="1" applyAlignment="1">
      <alignment horizontal="left"/>
    </xf>
    <xf numFmtId="175" fontId="5" fillId="0" borderId="0" xfId="0" applyNumberFormat="1" applyFont="1" applyFill="1" applyBorder="1" applyAlignment="1">
      <alignment/>
    </xf>
    <xf numFmtId="175" fontId="5" fillId="0" borderId="11" xfId="0" applyNumberFormat="1" applyFont="1" applyFill="1" applyBorder="1" applyAlignment="1">
      <alignment/>
    </xf>
    <xf numFmtId="175" fontId="5" fillId="0" borderId="16" xfId="0" applyNumberFormat="1" applyFont="1" applyFill="1" applyBorder="1" applyAlignment="1">
      <alignment/>
    </xf>
    <xf numFmtId="175" fontId="5" fillId="0" borderId="24" xfId="0" applyNumberFormat="1" applyFont="1" applyFill="1" applyBorder="1" applyAlignment="1">
      <alignment/>
    </xf>
    <xf numFmtId="175" fontId="5" fillId="0" borderId="14" xfId="0" applyNumberFormat="1" applyFont="1" applyFill="1" applyBorder="1" applyAlignment="1">
      <alignment/>
    </xf>
    <xf numFmtId="175" fontId="5" fillId="0" borderId="12" xfId="0" applyNumberFormat="1" applyFont="1" applyFill="1" applyBorder="1" applyAlignment="1">
      <alignment/>
    </xf>
    <xf numFmtId="10" fontId="0" fillId="0" borderId="0" xfId="63" applyNumberFormat="1" applyFont="1" applyFill="1" applyBorder="1" applyAlignment="1">
      <alignment vertical="center"/>
    </xf>
    <xf numFmtId="43" fontId="0" fillId="0" borderId="18" xfId="42" applyFont="1" applyFill="1" applyBorder="1" applyAlignment="1">
      <alignment horizontal="left"/>
    </xf>
    <xf numFmtId="174" fontId="0" fillId="0" borderId="18" xfId="45" applyNumberFormat="1" applyFont="1" applyFill="1" applyBorder="1" applyAlignment="1">
      <alignment horizontal="left"/>
    </xf>
    <xf numFmtId="174" fontId="0" fillId="0" borderId="19" xfId="45" applyNumberFormat="1" applyFont="1" applyFill="1" applyBorder="1" applyAlignment="1">
      <alignment horizontal="left"/>
    </xf>
    <xf numFmtId="177" fontId="0" fillId="0" borderId="18" xfId="42" applyNumberFormat="1" applyFont="1" applyFill="1" applyBorder="1" applyAlignment="1">
      <alignment horizontal="left"/>
    </xf>
    <xf numFmtId="0" fontId="73" fillId="0" borderId="0" xfId="0" applyFont="1" applyFill="1" applyBorder="1" applyAlignment="1">
      <alignment/>
    </xf>
    <xf numFmtId="175" fontId="73" fillId="0" borderId="0" xfId="0" applyNumberFormat="1" applyFont="1" applyFill="1" applyBorder="1" applyAlignment="1">
      <alignment/>
    </xf>
    <xf numFmtId="178" fontId="73" fillId="0" borderId="0" xfId="45" applyNumberFormat="1" applyFont="1" applyFill="1" applyBorder="1" applyAlignment="1">
      <alignment/>
    </xf>
    <xf numFmtId="174" fontId="0" fillId="0" borderId="18" xfId="45" applyNumberFormat="1" applyFont="1" applyBorder="1" applyAlignment="1">
      <alignment horizontal="left"/>
    </xf>
    <xf numFmtId="174" fontId="0" fillId="33" borderId="15" xfId="0" applyNumberFormat="1" applyFont="1" applyFill="1" applyBorder="1" applyAlignment="1">
      <alignment/>
    </xf>
    <xf numFmtId="174" fontId="0" fillId="33" borderId="16" xfId="0" applyNumberFormat="1" applyFont="1" applyFill="1" applyBorder="1" applyAlignment="1">
      <alignment/>
    </xf>
    <xf numFmtId="174" fontId="0" fillId="33" borderId="24" xfId="0" applyNumberFormat="1" applyFont="1" applyFill="1" applyBorder="1" applyAlignment="1">
      <alignment/>
    </xf>
    <xf numFmtId="174" fontId="0" fillId="0" borderId="21" xfId="45" applyNumberFormat="1" applyFont="1" applyFill="1" applyBorder="1" applyAlignment="1">
      <alignment horizontal="right"/>
    </xf>
    <xf numFmtId="174" fontId="0" fillId="0" borderId="14" xfId="45" applyNumberFormat="1" applyFont="1" applyFill="1" applyBorder="1" applyAlignment="1">
      <alignment horizontal="right"/>
    </xf>
    <xf numFmtId="174" fontId="0" fillId="0" borderId="12" xfId="45" applyNumberFormat="1" applyFont="1" applyBorder="1" applyAlignment="1">
      <alignment horizontal="left"/>
    </xf>
    <xf numFmtId="178" fontId="73" fillId="0" borderId="0" xfId="45" applyNumberFormat="1" applyFont="1" applyFill="1" applyBorder="1" applyAlignment="1">
      <alignment horizontal="left"/>
    </xf>
    <xf numFmtId="0" fontId="74" fillId="0" borderId="14" xfId="0" applyFont="1" applyBorder="1" applyAlignment="1">
      <alignment horizontal="left" wrapText="1"/>
    </xf>
    <xf numFmtId="175" fontId="4" fillId="37" borderId="0" xfId="60" applyNumberFormat="1" applyFont="1" applyFill="1" applyBorder="1" applyAlignment="1">
      <alignment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2 2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fama.org/files/conf/papers/1069.pdf" TargetMode="External" /><Relationship Id="rId2" Type="http://schemas.openxmlformats.org/officeDocument/2006/relationships/hyperlink" Target="http://www.ecobank.com/upload/20141103102555632920ARNtHccJU9.pdf" TargetMode="External" /><Relationship Id="rId3" Type="http://schemas.openxmlformats.org/officeDocument/2006/relationships/hyperlink" Target="http://www.nhomatogdrikke.no/getfile.php/Sjokolade/Final%20Baseline%20Report.pdf" TargetMode="External" /><Relationship Id="rId4" Type="http://schemas.openxmlformats.org/officeDocument/2006/relationships/hyperlink" Target="http://admin.csrwire.com/system/report_pdfs/530/original/1234276216_Verification_Report_Ghana.pdf" TargetMode="External" /><Relationship Id="rId5" Type="http://schemas.openxmlformats.org/officeDocument/2006/relationships/hyperlink" Target="http://admin.csrwire.com/system/report_pdfs/531/original/1234276386_Verification_Report_CDI.pdf" TargetMode="External" /><Relationship Id="rId6" Type="http://schemas.openxmlformats.org/officeDocument/2006/relationships/hyperlink" Target="http://www.fairlabor.org/sites/default/files/documents/reports/cocoa-report-final_0.pdf" TargetMode="External" /><Relationship Id="rId7" Type="http://schemas.openxmlformats.org/officeDocument/2006/relationships/hyperlink" Target="https://commerce.us.reuters.com/purchase/showReportDetail.do?docid=66831015" TargetMode="External" /><Relationship Id="rId8" Type="http://schemas.openxmlformats.org/officeDocument/2006/relationships/hyperlink" Target="http://www.icco.org/about-us/international-cocoa-agreements/cat_view/30-related-documents/37-fair-trade-organic-cocoa.html" TargetMode="External" /><Relationship Id="rId9" Type="http://schemas.openxmlformats.org/officeDocument/2006/relationships/hyperlink" Target="http://www.kakaoforum.de/fileadmin/user_uploads/Zusammenfassung_CCE_Studie_Deutsch_19_02_2014.pdf" TargetMode="External" /><Relationship Id="rId10" Type="http://schemas.openxmlformats.org/officeDocument/2006/relationships/hyperlink" Target="http://www.theigc.org/wp-content/uploads/2015/02/Hainmueller-Et-Al-2011-Working-Paper.pdf" TargetMode="External" /><Relationship Id="rId11" Type="http://schemas.openxmlformats.org/officeDocument/2006/relationships/hyperlink" Target="http://fairtradekookboek.files.wordpress.com/2013/12/apiss-fairtradeinghanaiancocoa.pdf" TargetMode="External" /><Relationship Id="rId12" Type="http://schemas.openxmlformats.org/officeDocument/2006/relationships/hyperlink" Target="http://www.cocoainitiative.org/en/documents-manager/english/50-hazardous-activity-framework-for-ghana-2008/file" TargetMode="External" /><Relationship Id="rId13" Type="http://schemas.openxmlformats.org/officeDocument/2006/relationships/comments" Target="../comments2.xml" /><Relationship Id="rId14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8"/>
  <sheetViews>
    <sheetView workbookViewId="0" topLeftCell="B1">
      <pane xSplit="1" ySplit="1" topLeftCell="C2" activePane="bottomRight" state="frozen"/>
      <selection pane="topLeft" activeCell="B1" sqref="B1"/>
      <selection pane="topRight" activeCell="C1" sqref="C1"/>
      <selection pane="bottomLeft" activeCell="B2" sqref="B2"/>
      <selection pane="bottomRight" activeCell="H15" sqref="H15"/>
    </sheetView>
  </sheetViews>
  <sheetFormatPr defaultColWidth="11.00390625" defaultRowHeight="15.75"/>
  <cols>
    <col min="1" max="1" width="4.875" style="38" customWidth="1"/>
    <col min="2" max="2" width="35.875" style="235" customWidth="1"/>
    <col min="3" max="3" width="14.875" style="38" customWidth="1"/>
    <col min="4" max="4" width="15.50390625" style="38" customWidth="1"/>
    <col min="5" max="5" width="20.375" style="38" customWidth="1"/>
    <col min="6" max="6" width="19.00390625" style="38" customWidth="1"/>
    <col min="7" max="7" width="15.00390625" style="38" customWidth="1"/>
    <col min="8" max="9" width="16.125" style="38" customWidth="1"/>
    <col min="10" max="11" width="12.375" style="38" customWidth="1"/>
    <col min="12" max="12" width="20.00390625" style="38" customWidth="1"/>
    <col min="13" max="17" width="16.875" style="38" customWidth="1"/>
    <col min="18" max="18" width="19.375" style="38" customWidth="1"/>
    <col min="19" max="19" width="9.875" style="38" customWidth="1"/>
    <col min="20" max="20" width="10.875" style="39" customWidth="1"/>
    <col min="21" max="21" width="9.875" style="38" customWidth="1"/>
    <col min="22" max="16384" width="10.875" style="38" customWidth="1"/>
  </cols>
  <sheetData>
    <row r="1" spans="2:18" s="34" customFormat="1" ht="16.5" thickBot="1">
      <c r="B1" s="35" t="s">
        <v>32</v>
      </c>
      <c r="C1" s="282">
        <v>1</v>
      </c>
      <c r="D1" s="35"/>
      <c r="E1" s="35"/>
      <c r="F1" s="281">
        <f>2744.5</f>
        <v>2744.5</v>
      </c>
      <c r="G1" s="36"/>
      <c r="H1" s="375"/>
      <c r="I1" s="375"/>
      <c r="J1" s="376"/>
      <c r="K1" s="377"/>
      <c r="R1" s="37"/>
    </row>
    <row r="2" spans="2:20" ht="16.5" thickBot="1">
      <c r="B2" s="190"/>
      <c r="C2" s="193" t="s">
        <v>15</v>
      </c>
      <c r="D2" s="194" t="s">
        <v>16</v>
      </c>
      <c r="E2" s="194" t="s">
        <v>17</v>
      </c>
      <c r="F2" s="195" t="s">
        <v>11</v>
      </c>
      <c r="G2" s="195" t="s">
        <v>161</v>
      </c>
      <c r="I2" s="39"/>
      <c r="T2" s="38"/>
    </row>
    <row r="3" spans="2:9" s="34" customFormat="1" ht="15.75">
      <c r="B3" s="191" t="s">
        <v>54</v>
      </c>
      <c r="C3" s="267">
        <f>F1*C58</f>
        <v>1873.9799433637033</v>
      </c>
      <c r="D3" s="268">
        <f>H34/E34</f>
        <v>626.2961935594204</v>
      </c>
      <c r="E3" s="268">
        <f>C3-D3</f>
        <v>1247.6837498042828</v>
      </c>
      <c r="F3" s="286">
        <f>E3</f>
        <v>1247.6837498042828</v>
      </c>
      <c r="G3" s="217">
        <f>E3/($C$12-$D$3)</f>
        <v>0.06821542872225608</v>
      </c>
      <c r="I3" s="37"/>
    </row>
    <row r="4" spans="2:9" s="34" customFormat="1" ht="15.75">
      <c r="B4" s="191" t="s">
        <v>19</v>
      </c>
      <c r="C4" s="269">
        <f>I50</f>
        <v>156.54924273609973</v>
      </c>
      <c r="D4" s="270">
        <f>N50</f>
        <v>40.1202913896413</v>
      </c>
      <c r="E4" s="270">
        <f>C4-D4</f>
        <v>116.42895134645843</v>
      </c>
      <c r="F4" s="287">
        <f>E4</f>
        <v>116.42895134645843</v>
      </c>
      <c r="G4" s="222">
        <f aca="true" t="shared" si="0" ref="G4:G12">E4/($C$12-$D$3)</f>
        <v>0.006365596116024765</v>
      </c>
      <c r="I4" s="37"/>
    </row>
    <row r="5" spans="2:9" s="34" customFormat="1" ht="15.75">
      <c r="B5" s="191" t="s">
        <v>147</v>
      </c>
      <c r="C5" s="271">
        <f>D5+E5</f>
        <v>1970.9799433637033</v>
      </c>
      <c r="D5" s="272">
        <f>C3</f>
        <v>1873.9799433637033</v>
      </c>
      <c r="E5" s="273">
        <v>97</v>
      </c>
      <c r="F5" s="288" t="s">
        <v>175</v>
      </c>
      <c r="G5" s="218">
        <f t="shared" si="0"/>
        <v>0.005303344366789097</v>
      </c>
      <c r="I5" s="37"/>
    </row>
    <row r="6" spans="2:9" s="34" customFormat="1" ht="15.75">
      <c r="B6" s="191" t="s">
        <v>33</v>
      </c>
      <c r="C6" s="271">
        <f>D6+E6</f>
        <v>2745.060699335139</v>
      </c>
      <c r="D6" s="274">
        <f aca="true" t="shared" si="1" ref="D6:D12">C5</f>
        <v>1970.9799433637033</v>
      </c>
      <c r="E6" s="273">
        <f>J58</f>
        <v>774.0807559714356</v>
      </c>
      <c r="F6" s="288" t="s">
        <v>175</v>
      </c>
      <c r="G6" s="218">
        <f t="shared" si="0"/>
        <v>0.04232182285176246</v>
      </c>
      <c r="I6" s="37"/>
    </row>
    <row r="7" spans="2:9" s="34" customFormat="1" ht="15.75">
      <c r="B7" s="191" t="s">
        <v>20</v>
      </c>
      <c r="C7" s="271">
        <f>D7+E7</f>
        <v>2792.7866289091353</v>
      </c>
      <c r="D7" s="274">
        <f t="shared" si="1"/>
        <v>2745.060699335139</v>
      </c>
      <c r="E7" s="275">
        <f>C66</f>
        <v>47.72592957399655</v>
      </c>
      <c r="F7" s="288" t="s">
        <v>175</v>
      </c>
      <c r="G7" s="218">
        <f t="shared" si="0"/>
        <v>0.002609350925319874</v>
      </c>
      <c r="I7" s="37"/>
    </row>
    <row r="8" spans="2:9" s="34" customFormat="1" ht="31.5">
      <c r="B8" s="191" t="s">
        <v>58</v>
      </c>
      <c r="C8" s="271">
        <f>D8+E8</f>
        <v>2993.3933760157593</v>
      </c>
      <c r="D8" s="274">
        <f t="shared" si="1"/>
        <v>2792.7866289091353</v>
      </c>
      <c r="E8" s="275">
        <f>C73</f>
        <v>200.60674710662397</v>
      </c>
      <c r="F8" s="288" t="s">
        <v>175</v>
      </c>
      <c r="G8" s="218">
        <f t="shared" si="0"/>
        <v>0.010967903734101022</v>
      </c>
      <c r="I8" s="37"/>
    </row>
    <row r="9" spans="2:9" s="34" customFormat="1" ht="15.75">
      <c r="B9" s="191" t="s">
        <v>66</v>
      </c>
      <c r="C9" s="271">
        <f>D9*1.015</f>
        <v>3038.2942766559954</v>
      </c>
      <c r="D9" s="272">
        <f t="shared" si="1"/>
        <v>2993.3933760157593</v>
      </c>
      <c r="E9" s="272">
        <f>C9-D9</f>
        <v>44.90090064023616</v>
      </c>
      <c r="F9" s="289">
        <f>C9*0.005</f>
        <v>15.191471383279977</v>
      </c>
      <c r="G9" s="219">
        <f t="shared" si="0"/>
        <v>0.0024548962729294163</v>
      </c>
      <c r="I9" s="37"/>
    </row>
    <row r="10" spans="2:9" s="34" customFormat="1" ht="15.75">
      <c r="B10" s="191" t="s">
        <v>13</v>
      </c>
      <c r="C10" s="276">
        <f>E91</f>
        <v>4433.587862719712</v>
      </c>
      <c r="D10" s="275">
        <f t="shared" si="1"/>
        <v>3038.2942766559954</v>
      </c>
      <c r="E10" s="273">
        <f>SUM(C10-D10)</f>
        <v>1395.2935860637162</v>
      </c>
      <c r="F10" s="289">
        <f>E90</f>
        <v>211.46528165525726</v>
      </c>
      <c r="G10" s="219">
        <f t="shared" si="0"/>
        <v>0.07628579772853575</v>
      </c>
      <c r="I10" s="37"/>
    </row>
    <row r="11" spans="1:10" s="34" customFormat="1" ht="15" customHeight="1">
      <c r="A11" s="196"/>
      <c r="B11" s="191" t="s">
        <v>148</v>
      </c>
      <c r="C11" s="277">
        <f>C102</f>
        <v>10858.152248324757</v>
      </c>
      <c r="D11" s="278">
        <f t="shared" si="1"/>
        <v>4433.587862719712</v>
      </c>
      <c r="E11" s="278">
        <f>C11-D11</f>
        <v>6424.564385605046</v>
      </c>
      <c r="F11" s="290">
        <f>C101</f>
        <v>870.1655111897887</v>
      </c>
      <c r="G11" s="220">
        <f t="shared" si="0"/>
        <v>0.35125440560280796</v>
      </c>
      <c r="I11" s="37"/>
      <c r="J11" s="42"/>
    </row>
    <row r="12" spans="1:10" s="34" customFormat="1" ht="16.5" thickBot="1">
      <c r="A12" s="196"/>
      <c r="B12" s="192" t="s">
        <v>86</v>
      </c>
      <c r="C12" s="279">
        <f>C132</f>
        <v>18916.641547604104</v>
      </c>
      <c r="D12" s="280">
        <f t="shared" si="1"/>
        <v>10858.152248324757</v>
      </c>
      <c r="E12" s="280">
        <f>C12-D12</f>
        <v>8058.489299279347</v>
      </c>
      <c r="F12" s="291">
        <f>C130</f>
        <v>472.9160386901026</v>
      </c>
      <c r="G12" s="221">
        <f t="shared" si="0"/>
        <v>0.44058704979549834</v>
      </c>
      <c r="I12" s="37"/>
      <c r="J12" s="43"/>
    </row>
    <row r="13" ht="16.5" thickBot="1"/>
    <row r="14" spans="2:20" ht="16.5" thickBot="1">
      <c r="B14" s="90" t="s">
        <v>47</v>
      </c>
      <c r="C14" s="44" t="s">
        <v>49</v>
      </c>
      <c r="D14" s="45" t="s">
        <v>45</v>
      </c>
      <c r="T14" s="38"/>
    </row>
    <row r="15" spans="2:20" ht="15.75">
      <c r="B15" s="46" t="s">
        <v>0</v>
      </c>
      <c r="C15" s="9">
        <v>1449</v>
      </c>
      <c r="D15" s="11">
        <f>C15/$C$20</f>
        <v>0.3568086678158089</v>
      </c>
      <c r="M15" s="47"/>
      <c r="T15" s="38"/>
    </row>
    <row r="16" spans="2:20" ht="15.75">
      <c r="B16" s="46" t="s">
        <v>1</v>
      </c>
      <c r="C16" s="9">
        <v>835</v>
      </c>
      <c r="D16" s="11">
        <f>C16/$C$20</f>
        <v>0.20561438069441024</v>
      </c>
      <c r="K16" s="109"/>
      <c r="T16" s="38"/>
    </row>
    <row r="17" spans="2:20" ht="15.75">
      <c r="B17" s="46" t="s">
        <v>46</v>
      </c>
      <c r="C17" s="9">
        <v>696</v>
      </c>
      <c r="D17" s="11">
        <f>C17/$C$20</f>
        <v>0.17138635803989166</v>
      </c>
      <c r="K17" s="109"/>
      <c r="T17" s="38"/>
    </row>
    <row r="18" spans="2:20" ht="15.75">
      <c r="B18" s="46" t="s">
        <v>22</v>
      </c>
      <c r="C18" s="9">
        <v>537</v>
      </c>
      <c r="D18" s="12">
        <f>C18/$C$20</f>
        <v>0.13223344003939916</v>
      </c>
      <c r="K18" s="109"/>
      <c r="T18" s="38"/>
    </row>
    <row r="19" spans="2:20" ht="16.5" thickBot="1">
      <c r="B19" s="48" t="s">
        <v>21</v>
      </c>
      <c r="C19" s="21">
        <v>544</v>
      </c>
      <c r="D19" s="13">
        <f>C19/$C$20</f>
        <v>0.13395715341049003</v>
      </c>
      <c r="F19" s="52"/>
      <c r="H19" s="102"/>
      <c r="I19" s="102"/>
      <c r="J19" s="39"/>
      <c r="K19" s="39"/>
      <c r="T19" s="38"/>
    </row>
    <row r="20" spans="2:20" ht="16.5" thickBot="1">
      <c r="B20" s="49" t="s">
        <v>6</v>
      </c>
      <c r="C20" s="50">
        <f>SUM(C15:C19)</f>
        <v>4061</v>
      </c>
      <c r="D20" s="13">
        <f>SUM(D15:D19)</f>
        <v>1</v>
      </c>
      <c r="F20" s="100"/>
      <c r="S20" s="39"/>
      <c r="T20" s="38"/>
    </row>
    <row r="21" spans="19:20" ht="16.5" thickBot="1">
      <c r="S21" s="39"/>
      <c r="T21" s="38"/>
    </row>
    <row r="22" spans="2:20" ht="16.5" thickBot="1">
      <c r="B22" s="90" t="s">
        <v>149</v>
      </c>
      <c r="C22" s="44" t="s">
        <v>55</v>
      </c>
      <c r="D22" s="44" t="s">
        <v>56</v>
      </c>
      <c r="E22" s="45" t="s">
        <v>45</v>
      </c>
      <c r="F22" s="45" t="s">
        <v>149</v>
      </c>
      <c r="S22" s="39"/>
      <c r="T22" s="38"/>
    </row>
    <row r="23" spans="2:20" ht="15.75">
      <c r="B23" s="46" t="s">
        <v>7</v>
      </c>
      <c r="C23" s="197">
        <v>571695</v>
      </c>
      <c r="D23" s="198">
        <v>278870</v>
      </c>
      <c r="E23" s="11">
        <f>D23/$D$26</f>
        <v>0.43832942215711457</v>
      </c>
      <c r="F23" s="11">
        <f>D23/C23</f>
        <v>0.48779506555068697</v>
      </c>
      <c r="S23" s="39"/>
      <c r="T23" s="38"/>
    </row>
    <row r="24" spans="2:20" ht="15.75">
      <c r="B24" s="46" t="s">
        <v>8</v>
      </c>
      <c r="C24" s="197">
        <v>691490</v>
      </c>
      <c r="D24" s="198">
        <v>297341</v>
      </c>
      <c r="E24" s="12">
        <f>D24/$D$26</f>
        <v>0.4673622430294352</v>
      </c>
      <c r="F24" s="12">
        <f>D24/C24</f>
        <v>0.43000043384575337</v>
      </c>
      <c r="S24" s="39"/>
      <c r="T24" s="38"/>
    </row>
    <row r="25" spans="2:20" ht="16.5" thickBot="1">
      <c r="B25" s="48" t="s">
        <v>50</v>
      </c>
      <c r="C25" s="199">
        <v>176000</v>
      </c>
      <c r="D25" s="18">
        <v>60000</v>
      </c>
      <c r="E25" s="13">
        <f>D25/$D$26</f>
        <v>0.09430833481345026</v>
      </c>
      <c r="F25" s="13">
        <f>D25/C25</f>
        <v>0.3409090909090909</v>
      </c>
      <c r="S25" s="39"/>
      <c r="T25" s="38"/>
    </row>
    <row r="26" spans="2:20" ht="16.5" thickBot="1">
      <c r="B26" s="49" t="s">
        <v>6</v>
      </c>
      <c r="C26" s="50">
        <f>SUM(C23:C25)</f>
        <v>1439185</v>
      </c>
      <c r="D26" s="51">
        <f>SUM(D23:D25)</f>
        <v>636211</v>
      </c>
      <c r="E26" s="13">
        <f>D26/$D$26</f>
        <v>1</v>
      </c>
      <c r="F26" s="13">
        <f>D26/C26</f>
        <v>0.44206339004367057</v>
      </c>
      <c r="G26" s="100"/>
      <c r="S26" s="39"/>
      <c r="T26" s="38"/>
    </row>
    <row r="27" spans="19:20" ht="16.5" thickBot="1">
      <c r="S27" s="39"/>
      <c r="T27" s="38"/>
    </row>
    <row r="28" spans="1:16" s="81" customFormat="1" ht="16.5" thickBot="1">
      <c r="A28" s="39"/>
      <c r="B28" s="90" t="s">
        <v>69</v>
      </c>
      <c r="C28" s="15" t="s">
        <v>5</v>
      </c>
      <c r="D28" s="53" t="s">
        <v>71</v>
      </c>
      <c r="E28" s="53" t="s">
        <v>30</v>
      </c>
      <c r="F28" s="53" t="s">
        <v>31</v>
      </c>
      <c r="G28" s="45" t="s">
        <v>48</v>
      </c>
      <c r="H28" s="54" t="s">
        <v>34</v>
      </c>
      <c r="I28" s="55" t="s">
        <v>70</v>
      </c>
      <c r="J28" s="56" t="s">
        <v>77</v>
      </c>
      <c r="K28" s="55" t="s">
        <v>75</v>
      </c>
      <c r="L28" s="56" t="s">
        <v>76</v>
      </c>
      <c r="M28" s="53" t="s">
        <v>18</v>
      </c>
      <c r="N28" s="53"/>
      <c r="O28" s="56" t="s">
        <v>72</v>
      </c>
      <c r="P28" s="132"/>
    </row>
    <row r="29" spans="1:16" s="81" customFormat="1" ht="15.75">
      <c r="A29" s="331"/>
      <c r="B29" s="342" t="s">
        <v>0</v>
      </c>
      <c r="C29" s="8">
        <f>'Actual Farmer Income'!C3</f>
        <v>0.9</v>
      </c>
      <c r="D29" s="197">
        <f>'Actual Farmer Income'!D3</f>
        <v>10</v>
      </c>
      <c r="E29" s="22">
        <f>D37</f>
        <v>0.4858</v>
      </c>
      <c r="F29" s="22">
        <f>C37</f>
        <v>3.4999999999999996</v>
      </c>
      <c r="G29" s="349">
        <f>F29*E29</f>
        <v>1.7003</v>
      </c>
      <c r="H29" s="310">
        <f>'Actual Farmer Income'!J3*('Actual Farmer Income'!E3/1000)</f>
        <v>249.21540000000002</v>
      </c>
      <c r="I29" s="310">
        <f>G29*D53</f>
        <v>2528.3460999999998</v>
      </c>
      <c r="J29" s="328">
        <f aca="true" t="shared" si="2" ref="J29:J34">(I29/D29)/365</f>
        <v>0.6926975616438356</v>
      </c>
      <c r="K29" s="339">
        <f>SUM(I29-(H29*F29))</f>
        <v>1656.0921999999998</v>
      </c>
      <c r="L29" s="328">
        <f aca="true" t="shared" si="3" ref="L29:L34">(K29/D29)/365</f>
        <v>0.4537238904109589</v>
      </c>
      <c r="M29" s="340">
        <f>(K29/C29)</f>
        <v>1840.1024444444442</v>
      </c>
      <c r="N29" s="340"/>
      <c r="O29" s="328">
        <f>(M29/D29)/365</f>
        <v>0.5041376560121765</v>
      </c>
      <c r="P29" s="132"/>
    </row>
    <row r="30" spans="1:16" s="81" customFormat="1" ht="15.75">
      <c r="A30" s="331"/>
      <c r="B30" s="342" t="s">
        <v>1</v>
      </c>
      <c r="C30" s="8">
        <f>'Actual Farmer Income'!C4</f>
        <v>0.78</v>
      </c>
      <c r="D30" s="197">
        <f>'Actual Farmer Income'!D4</f>
        <v>5.866666666666667</v>
      </c>
      <c r="E30" s="20">
        <f>D38</f>
        <v>0.41983333333333334</v>
      </c>
      <c r="F30" s="20">
        <f>C38</f>
        <v>2.642857142857143</v>
      </c>
      <c r="G30" s="59">
        <f>F30*E30</f>
        <v>1.1095595238095237</v>
      </c>
      <c r="H30" s="297">
        <f>'Actual Farmer Income'!J4*('Actual Farmer Income'!E4/1000)</f>
        <v>151.14000000000001</v>
      </c>
      <c r="I30" s="339">
        <f>G30*D54</f>
        <v>1808.5820238095237</v>
      </c>
      <c r="J30" s="328">
        <f t="shared" si="2"/>
        <v>0.8446055528375732</v>
      </c>
      <c r="K30" s="339">
        <f>SUM(I30-(H30*F30))</f>
        <v>1409.140595238095</v>
      </c>
      <c r="L30" s="328">
        <f t="shared" si="3"/>
        <v>0.6580669031311154</v>
      </c>
      <c r="M30" s="340">
        <f>(K30/C30)</f>
        <v>1806.5905067155065</v>
      </c>
      <c r="N30" s="340"/>
      <c r="O30" s="328">
        <f>(M30/D30)/365</f>
        <v>0.8436755168347633</v>
      </c>
      <c r="P30" s="132"/>
    </row>
    <row r="31" spans="1:16" s="81" customFormat="1" ht="15.75">
      <c r="A31" s="331"/>
      <c r="B31" s="342" t="s">
        <v>2</v>
      </c>
      <c r="C31" s="8">
        <v>0.66</v>
      </c>
      <c r="D31" s="197">
        <v>7</v>
      </c>
      <c r="E31" s="20">
        <v>0.4</v>
      </c>
      <c r="F31" s="20">
        <v>2.2</v>
      </c>
      <c r="G31" s="59">
        <f>F31*E31</f>
        <v>0.8800000000000001</v>
      </c>
      <c r="H31" s="297">
        <v>300</v>
      </c>
      <c r="I31" s="310">
        <f>G31*D55</f>
        <v>2173.6440000000002</v>
      </c>
      <c r="J31" s="314">
        <f t="shared" si="2"/>
        <v>0.8507412915851273</v>
      </c>
      <c r="K31" s="310">
        <f>SUM(I31-(H31*F31))</f>
        <v>1513.6440000000002</v>
      </c>
      <c r="L31" s="314">
        <f t="shared" si="3"/>
        <v>0.5924242661448141</v>
      </c>
      <c r="M31" s="132">
        <f>(K31/C31)</f>
        <v>2293.4</v>
      </c>
      <c r="N31" s="132"/>
      <c r="O31" s="314">
        <f>(M31/D31)/365</f>
        <v>0.8976125244618396</v>
      </c>
      <c r="P31" s="132"/>
    </row>
    <row r="32" spans="1:19" s="81" customFormat="1" ht="15.75">
      <c r="A32" s="331"/>
      <c r="B32" s="342" t="s">
        <v>3</v>
      </c>
      <c r="C32" s="8">
        <v>0.5</v>
      </c>
      <c r="D32" s="20">
        <v>4.6</v>
      </c>
      <c r="E32" s="20">
        <v>0.4</v>
      </c>
      <c r="F32" s="20">
        <v>1.8</v>
      </c>
      <c r="G32" s="59">
        <f>F32*E32</f>
        <v>0.7200000000000001</v>
      </c>
      <c r="H32" s="297">
        <v>300</v>
      </c>
      <c r="I32" s="310">
        <f>G32*D56</f>
        <v>1383.228</v>
      </c>
      <c r="J32" s="314">
        <f t="shared" si="2"/>
        <v>0.8238403811792735</v>
      </c>
      <c r="K32" s="310">
        <f>SUM(I32-(H32*F32))</f>
        <v>843.2280000000001</v>
      </c>
      <c r="L32" s="314">
        <f t="shared" si="3"/>
        <v>0.5022203692674212</v>
      </c>
      <c r="M32" s="132">
        <f>(K32/C32)</f>
        <v>1686.4560000000001</v>
      </c>
      <c r="N32" s="132"/>
      <c r="O32" s="314">
        <f>(M32/D32)/365</f>
        <v>1.0044407385348424</v>
      </c>
      <c r="P32" s="132"/>
      <c r="Q32" s="341"/>
      <c r="R32" s="341"/>
      <c r="S32" s="341"/>
    </row>
    <row r="33" spans="1:19" s="81" customFormat="1" ht="16.5" thickBot="1">
      <c r="A33" s="331"/>
      <c r="B33" s="343" t="s">
        <v>4</v>
      </c>
      <c r="C33" s="8">
        <v>0.4</v>
      </c>
      <c r="D33" s="20">
        <v>4.5</v>
      </c>
      <c r="E33" s="20">
        <v>0.15</v>
      </c>
      <c r="F33" s="20">
        <v>11</v>
      </c>
      <c r="G33" s="59">
        <f>F33*E33</f>
        <v>1.65</v>
      </c>
      <c r="H33" s="297">
        <v>300</v>
      </c>
      <c r="I33" s="310">
        <f>G33*D57</f>
        <v>4075.5825</v>
      </c>
      <c r="J33" s="314">
        <f t="shared" si="2"/>
        <v>2.4813287671232875</v>
      </c>
      <c r="K33" s="310">
        <f>SUM(I33-(H33*F33))</f>
        <v>775.5825</v>
      </c>
      <c r="L33" s="314">
        <f t="shared" si="3"/>
        <v>0.47219634703196345</v>
      </c>
      <c r="M33" s="132">
        <f>(K33/C33)</f>
        <v>1938.95625</v>
      </c>
      <c r="N33" s="132"/>
      <c r="O33" s="314">
        <f>(M33/D33)/365</f>
        <v>1.1804908675799086</v>
      </c>
      <c r="P33" s="132"/>
      <c r="Q33" s="341"/>
      <c r="R33" s="341"/>
      <c r="S33" s="341"/>
    </row>
    <row r="34" spans="1:16" s="82" customFormat="1" ht="16.5" thickBot="1">
      <c r="A34" s="38"/>
      <c r="B34" s="223" t="s">
        <v>29</v>
      </c>
      <c r="C34" s="16">
        <f>SUM(C29*$D$15)+(C30*$D$16)+(C31*$D$17)+(C32*$D$18)+(C33*$D$19)</f>
        <v>0.7143215956660921</v>
      </c>
      <c r="D34" s="17">
        <f>SUM(D29*$D$15)+(D30*$D$16)+(D31*$D$17)+(D32*$D$18)+(D33*$D$19)</f>
        <v>7.185143232372978</v>
      </c>
      <c r="E34" s="17">
        <f>SUM(E29*$D$15)+(E30*$D$16)+(E31*$D$17)+(E32*$D$18)+(E33*$D$19)</f>
        <v>0.401202913896413</v>
      </c>
      <c r="F34" s="14">
        <f>SUM(F29*$D$15)+(F30*$D$16)+(F31*$D$17)+(F32*$D$18)+(F33*$D$19)</f>
        <v>3.8808386393217713</v>
      </c>
      <c r="G34" s="24">
        <f>E34*F34</f>
        <v>1.5570037704576851</v>
      </c>
      <c r="H34" s="298">
        <f>SUM(H29*$D$15)+(H30*$D$16)+(H31*$D$17)+(H32*$D$18)+(H33*$D$19)</f>
        <v>251.27185781827137</v>
      </c>
      <c r="I34" s="298">
        <f>SUM(I29*$D$15)+(I30*$D$16)+(I31*$D$17)+(I32*$D$18)+(I33*$D$19)</f>
        <v>2375.4016323026226</v>
      </c>
      <c r="J34" s="293">
        <f t="shared" si="2"/>
        <v>0.9057508621706495</v>
      </c>
      <c r="K34" s="298">
        <f>SUM(K29*$D$15)+(K30*$D$16)+(K31*$D$17)+(K32*$D$18)+(K33*$D$19)</f>
        <v>1355.4633181048532</v>
      </c>
      <c r="L34" s="293">
        <f t="shared" si="3"/>
        <v>0.5168439948506995</v>
      </c>
      <c r="M34" s="292">
        <f>SUM(M29*$D$15)+(M30*$D$16)+(M31*$D$17)+(M32*$D$18)+(M33*$D$19)</f>
        <v>1903.8259017747962</v>
      </c>
      <c r="N34" s="292"/>
      <c r="O34" s="293">
        <f>SUM(O29*$D$15)+(O30*$D$16)+(O31*$D$17)+(O32*$D$18)+(O33*$D$19)</f>
        <v>0.7981468962572745</v>
      </c>
      <c r="P34" s="132"/>
    </row>
    <row r="35" spans="2:20" ht="16.5" thickBot="1">
      <c r="B35" s="62"/>
      <c r="C35" s="2"/>
      <c r="D35" s="4"/>
      <c r="E35" s="4"/>
      <c r="F35" s="27"/>
      <c r="G35" s="28"/>
      <c r="H35" s="3"/>
      <c r="I35" s="3"/>
      <c r="J35" s="3"/>
      <c r="K35" s="3"/>
      <c r="L35" s="63"/>
      <c r="M35" s="2"/>
      <c r="N35" s="30"/>
      <c r="O35" s="29"/>
      <c r="P35" s="31"/>
      <c r="Q35" s="3"/>
      <c r="R35" s="3"/>
      <c r="S35" s="30"/>
      <c r="T35" s="58"/>
    </row>
    <row r="36" spans="2:9" s="39" customFormat="1" ht="16.5" thickBot="1">
      <c r="B36" s="90" t="s">
        <v>87</v>
      </c>
      <c r="C36" s="53" t="s">
        <v>31</v>
      </c>
      <c r="D36" s="53" t="s">
        <v>30</v>
      </c>
      <c r="E36" s="44" t="s">
        <v>48</v>
      </c>
      <c r="F36" s="53" t="s">
        <v>164</v>
      </c>
      <c r="G36" s="64" t="s">
        <v>89</v>
      </c>
      <c r="H36" s="56" t="s">
        <v>88</v>
      </c>
      <c r="I36" s="65"/>
    </row>
    <row r="37" spans="2:13" s="39" customFormat="1" ht="15.75">
      <c r="B37" s="344" t="s">
        <v>0</v>
      </c>
      <c r="C37" s="22">
        <f>'Actual Farmer Income'!F3</f>
        <v>3.4999999999999996</v>
      </c>
      <c r="D37" s="22">
        <f>'Actual Farmer Income'!E3/1000</f>
        <v>0.4858</v>
      </c>
      <c r="E37" s="345">
        <f>C37*D37</f>
        <v>1.7003</v>
      </c>
      <c r="F37" s="346">
        <f>'Actual Farmer Income'!K3</f>
        <v>872.2538999999999</v>
      </c>
      <c r="G37" s="347">
        <f>'Actual Farmer Income'!I3</f>
        <v>2528.3460999999998</v>
      </c>
      <c r="H37" s="348">
        <f>G37-F37</f>
        <v>1656.0921999999998</v>
      </c>
      <c r="J37" s="58"/>
      <c r="K37" s="58"/>
      <c r="L37" s="25"/>
      <c r="M37" s="94"/>
    </row>
    <row r="38" spans="2:13" s="39" customFormat="1" ht="15.75">
      <c r="B38" s="342" t="s">
        <v>1</v>
      </c>
      <c r="C38" s="20">
        <f>'Actual Farmer Income'!F4</f>
        <v>2.642857142857143</v>
      </c>
      <c r="D38" s="20">
        <f>'Actual Farmer Income'!E4/1000</f>
        <v>0.41983333333333334</v>
      </c>
      <c r="E38" s="66">
        <f>C38*D38</f>
        <v>1.1095595238095237</v>
      </c>
      <c r="F38" s="317">
        <f>'Actual Farmer Income'!K4</f>
        <v>399.4414285714285</v>
      </c>
      <c r="G38" s="202">
        <f>'Actual Farmer Income'!I4</f>
        <v>1808.5820238095237</v>
      </c>
      <c r="H38" s="203">
        <f>G38-F38</f>
        <v>1409.140595238095</v>
      </c>
      <c r="I38" s="65"/>
      <c r="J38" s="58"/>
      <c r="K38" s="58"/>
      <c r="L38" s="25"/>
      <c r="M38" s="95"/>
    </row>
    <row r="39" spans="1:13" s="39" customFormat="1" ht="15.75">
      <c r="A39" s="81"/>
      <c r="B39" s="342" t="s">
        <v>2</v>
      </c>
      <c r="C39" s="20">
        <f>F31</f>
        <v>2.2</v>
      </c>
      <c r="D39" s="20">
        <v>0.4</v>
      </c>
      <c r="E39" s="66">
        <f>C39*D39</f>
        <v>0.8800000000000001</v>
      </c>
      <c r="F39" s="317">
        <f>H31*F31</f>
        <v>660</v>
      </c>
      <c r="G39" s="202">
        <f>I31</f>
        <v>2173.6440000000002</v>
      </c>
      <c r="H39" s="203">
        <f>G39-F39</f>
        <v>1513.6440000000002</v>
      </c>
      <c r="I39" s="65"/>
      <c r="J39" s="58"/>
      <c r="K39" s="58"/>
      <c r="L39" s="25"/>
      <c r="M39" s="94"/>
    </row>
    <row r="40" spans="1:14" s="39" customFormat="1" ht="15.75">
      <c r="A40" s="81"/>
      <c r="B40" s="342" t="s">
        <v>3</v>
      </c>
      <c r="C40" s="20">
        <f>F32</f>
        <v>1.8</v>
      </c>
      <c r="D40" s="20">
        <v>0.4</v>
      </c>
      <c r="E40" s="66">
        <f>C40*D40</f>
        <v>0.7200000000000001</v>
      </c>
      <c r="F40" s="317">
        <f>H32*F32</f>
        <v>540</v>
      </c>
      <c r="G40" s="202">
        <f>I32</f>
        <v>1383.228</v>
      </c>
      <c r="H40" s="203">
        <f>G40-F40</f>
        <v>843.2280000000001</v>
      </c>
      <c r="I40" s="65"/>
      <c r="J40" s="58"/>
      <c r="K40" s="58"/>
      <c r="L40" s="25"/>
      <c r="M40" s="94"/>
      <c r="N40" s="23"/>
    </row>
    <row r="41" spans="1:14" s="39" customFormat="1" ht="16.5" thickBot="1">
      <c r="A41" s="81"/>
      <c r="B41" s="343" t="s">
        <v>4</v>
      </c>
      <c r="C41" s="32">
        <f>F33</f>
        <v>11</v>
      </c>
      <c r="D41" s="32">
        <v>0.15</v>
      </c>
      <c r="E41" s="67">
        <f>C41*D41</f>
        <v>1.65</v>
      </c>
      <c r="F41" s="318">
        <f>H33*F33</f>
        <v>3300</v>
      </c>
      <c r="G41" s="206">
        <f>I33</f>
        <v>4075.5825</v>
      </c>
      <c r="H41" s="207">
        <f>G41-F41</f>
        <v>775.5825</v>
      </c>
      <c r="I41" s="65"/>
      <c r="J41" s="58"/>
      <c r="K41" s="58"/>
      <c r="L41" s="25"/>
      <c r="M41" s="94"/>
      <c r="N41" s="23"/>
    </row>
    <row r="42" spans="2:20" ht="16.5" thickBot="1">
      <c r="B42" s="223" t="s">
        <v>29</v>
      </c>
      <c r="C42" s="14">
        <f>F34</f>
        <v>3.8808386393217713</v>
      </c>
      <c r="D42" s="17">
        <f>SUM(D37*$D$15)+(D38*$D$16)+(D39*$D$17)+(D40*$D$18)+(D41*$D$19)</f>
        <v>0.401202913896413</v>
      </c>
      <c r="E42" s="24">
        <f>D42*C42</f>
        <v>1.5570037704576851</v>
      </c>
      <c r="F42" s="294">
        <v>228.24600307382693</v>
      </c>
      <c r="G42" s="295">
        <f>SUM(G37*$D$15)+(G38*$D$16)+(G39*$D$17)+(G40*$D$18)+(G41*$D$19)</f>
        <v>2375.4016323026226</v>
      </c>
      <c r="H42" s="296">
        <f>SUM(H37*$D$15)+(H38*$D$16)+(H39*$D$17)+(H40*$D$18)+(H41*$D$19)</f>
        <v>1355.4633181048532</v>
      </c>
      <c r="I42" s="29"/>
      <c r="J42" s="58"/>
      <c r="K42" s="58"/>
      <c r="T42" s="38"/>
    </row>
    <row r="43" spans="2:20" ht="16.5" thickBot="1">
      <c r="B43" s="62"/>
      <c r="C43" s="2"/>
      <c r="D43" s="4"/>
      <c r="E43" s="4"/>
      <c r="F43" s="27"/>
      <c r="G43" s="28"/>
      <c r="H43" s="3"/>
      <c r="I43" s="3"/>
      <c r="J43" s="3"/>
      <c r="K43" s="3"/>
      <c r="L43" s="63"/>
      <c r="M43" s="29"/>
      <c r="N43" s="30"/>
      <c r="O43" s="29"/>
      <c r="P43" s="31"/>
      <c r="Q43" s="3"/>
      <c r="R43" s="3"/>
      <c r="S43" s="30"/>
      <c r="T43" s="58"/>
    </row>
    <row r="44" spans="2:20" ht="16.5" thickBot="1">
      <c r="B44" s="92" t="s">
        <v>10</v>
      </c>
      <c r="C44" s="69" t="s">
        <v>38</v>
      </c>
      <c r="D44" s="70" t="s">
        <v>39</v>
      </c>
      <c r="E44" s="71" t="s">
        <v>40</v>
      </c>
      <c r="F44" s="69" t="s">
        <v>7</v>
      </c>
      <c r="G44" s="70" t="s">
        <v>8</v>
      </c>
      <c r="H44" s="71" t="s">
        <v>9</v>
      </c>
      <c r="I44" s="72" t="s">
        <v>52</v>
      </c>
      <c r="J44" s="72" t="s">
        <v>217</v>
      </c>
      <c r="K44" s="379" t="s">
        <v>35</v>
      </c>
      <c r="L44" s="380" t="s">
        <v>36</v>
      </c>
      <c r="M44" s="381" t="s">
        <v>37</v>
      </c>
      <c r="N44" s="70" t="s">
        <v>53</v>
      </c>
      <c r="O44" s="69" t="s">
        <v>41</v>
      </c>
      <c r="P44" s="70" t="s">
        <v>42</v>
      </c>
      <c r="Q44" s="71" t="s">
        <v>43</v>
      </c>
      <c r="R44" s="72" t="s">
        <v>51</v>
      </c>
      <c r="S44" s="39"/>
      <c r="T44" s="38"/>
    </row>
    <row r="45" spans="2:20" ht="15.75">
      <c r="B45" s="57" t="s">
        <v>0</v>
      </c>
      <c r="C45" s="5">
        <v>150</v>
      </c>
      <c r="D45" s="6">
        <v>152</v>
      </c>
      <c r="E45" s="7">
        <v>200</v>
      </c>
      <c r="F45" s="299">
        <f aca="true" t="shared" si="4" ref="F45:H49">C45/$C$1</f>
        <v>150</v>
      </c>
      <c r="G45" s="264">
        <f t="shared" si="4"/>
        <v>152</v>
      </c>
      <c r="H45" s="285">
        <f t="shared" si="4"/>
        <v>200</v>
      </c>
      <c r="I45" s="378">
        <f aca="true" t="shared" si="5" ref="I45:I50">(F45*$E$23)+(G45*$E$24)+(H45*$E$25)</f>
        <v>155.65014122673136</v>
      </c>
      <c r="J45" s="299">
        <v>100</v>
      </c>
      <c r="K45" s="262">
        <f aca="true" t="shared" si="6" ref="K45:M49">$J$45*$E29</f>
        <v>48.58</v>
      </c>
      <c r="L45" s="263">
        <f t="shared" si="6"/>
        <v>48.58</v>
      </c>
      <c r="M45" s="283">
        <f t="shared" si="6"/>
        <v>48.58</v>
      </c>
      <c r="N45" s="264">
        <f aca="true" t="shared" si="7" ref="N45:N50">(K45*$E$23)+(L45*$E$24)+(M45*$E$25)</f>
        <v>48.58</v>
      </c>
      <c r="O45" s="262">
        <f aca="true" t="shared" si="8" ref="O45:Q49">F45-K45</f>
        <v>101.42</v>
      </c>
      <c r="P45" s="263">
        <f t="shared" si="8"/>
        <v>103.42</v>
      </c>
      <c r="Q45" s="283">
        <f t="shared" si="8"/>
        <v>151.42000000000002</v>
      </c>
      <c r="R45" s="306">
        <f>SUM(O45*$E$23)+(P45*$E$24)+(Q45*$E$25)</f>
        <v>107.07014122673138</v>
      </c>
      <c r="S45" s="39"/>
      <c r="T45" s="38"/>
    </row>
    <row r="46" spans="2:20" ht="15.75">
      <c r="B46" s="57" t="s">
        <v>1</v>
      </c>
      <c r="C46" s="5">
        <v>200</v>
      </c>
      <c r="D46" s="6">
        <v>140</v>
      </c>
      <c r="E46" s="7">
        <v>200</v>
      </c>
      <c r="F46" s="299">
        <f t="shared" si="4"/>
        <v>200</v>
      </c>
      <c r="G46" s="264">
        <f t="shared" si="4"/>
        <v>140</v>
      </c>
      <c r="H46" s="285">
        <f t="shared" si="4"/>
        <v>200</v>
      </c>
      <c r="I46" s="378">
        <f t="shared" si="5"/>
        <v>171.9582654182339</v>
      </c>
      <c r="J46" s="299">
        <v>100</v>
      </c>
      <c r="K46" s="299">
        <f t="shared" si="6"/>
        <v>41.983333333333334</v>
      </c>
      <c r="L46" s="264">
        <f t="shared" si="6"/>
        <v>41.983333333333334</v>
      </c>
      <c r="M46" s="285">
        <f t="shared" si="6"/>
        <v>41.983333333333334</v>
      </c>
      <c r="N46" s="264">
        <f t="shared" si="7"/>
        <v>41.983333333333334</v>
      </c>
      <c r="O46" s="299">
        <f t="shared" si="8"/>
        <v>158.01666666666665</v>
      </c>
      <c r="P46" s="264">
        <f t="shared" si="8"/>
        <v>98.01666666666667</v>
      </c>
      <c r="Q46" s="285">
        <f t="shared" si="8"/>
        <v>158.01666666666665</v>
      </c>
      <c r="R46" s="306">
        <f>SUM(O46*$E$23)+(P46*$E$24)+(Q46*$E$25)</f>
        <v>129.97493208490056</v>
      </c>
      <c r="S46" s="39"/>
      <c r="T46" s="38"/>
    </row>
    <row r="47" spans="2:18" s="82" customFormat="1" ht="15.75">
      <c r="B47" s="200" t="s">
        <v>2</v>
      </c>
      <c r="C47" s="201">
        <v>150</v>
      </c>
      <c r="D47" s="202">
        <v>140</v>
      </c>
      <c r="E47" s="203">
        <v>200</v>
      </c>
      <c r="F47" s="266">
        <f t="shared" si="4"/>
        <v>150</v>
      </c>
      <c r="G47" s="265">
        <f t="shared" si="4"/>
        <v>140</v>
      </c>
      <c r="H47" s="284">
        <f t="shared" si="4"/>
        <v>200</v>
      </c>
      <c r="I47" s="372">
        <f t="shared" si="5"/>
        <v>150.04179431037818</v>
      </c>
      <c r="J47" s="266">
        <v>100</v>
      </c>
      <c r="K47" s="299">
        <f t="shared" si="6"/>
        <v>40</v>
      </c>
      <c r="L47" s="264">
        <f t="shared" si="6"/>
        <v>40</v>
      </c>
      <c r="M47" s="285">
        <f t="shared" si="6"/>
        <v>40</v>
      </c>
      <c r="N47" s="265">
        <f t="shared" si="7"/>
        <v>40</v>
      </c>
      <c r="O47" s="266">
        <f t="shared" si="8"/>
        <v>110</v>
      </c>
      <c r="P47" s="265">
        <f t="shared" si="8"/>
        <v>100</v>
      </c>
      <c r="Q47" s="284">
        <f t="shared" si="8"/>
        <v>160</v>
      </c>
      <c r="R47" s="307">
        <f>SUM(O47*$E$23)+(P47*$E$24)+(Q47*$E$25)</f>
        <v>110.04179431037815</v>
      </c>
    </row>
    <row r="48" spans="2:18" s="82" customFormat="1" ht="15.75">
      <c r="B48" s="200" t="s">
        <v>3</v>
      </c>
      <c r="C48" s="201">
        <v>150</v>
      </c>
      <c r="D48" s="202">
        <v>140</v>
      </c>
      <c r="E48" s="203">
        <v>200</v>
      </c>
      <c r="F48" s="266">
        <f t="shared" si="4"/>
        <v>150</v>
      </c>
      <c r="G48" s="265">
        <f t="shared" si="4"/>
        <v>140</v>
      </c>
      <c r="H48" s="284">
        <f t="shared" si="4"/>
        <v>200</v>
      </c>
      <c r="I48" s="372">
        <f t="shared" si="5"/>
        <v>150.04179431037818</v>
      </c>
      <c r="J48" s="266">
        <v>100</v>
      </c>
      <c r="K48" s="299">
        <f t="shared" si="6"/>
        <v>40</v>
      </c>
      <c r="L48" s="264">
        <f t="shared" si="6"/>
        <v>40</v>
      </c>
      <c r="M48" s="285">
        <f t="shared" si="6"/>
        <v>40</v>
      </c>
      <c r="N48" s="265">
        <f t="shared" si="7"/>
        <v>40</v>
      </c>
      <c r="O48" s="266">
        <f t="shared" si="8"/>
        <v>110</v>
      </c>
      <c r="P48" s="265">
        <f t="shared" si="8"/>
        <v>100</v>
      </c>
      <c r="Q48" s="284">
        <f t="shared" si="8"/>
        <v>160</v>
      </c>
      <c r="R48" s="307">
        <f>SUM(O48*$E$23)+(P48*$E$24)+(Q48*$E$25)</f>
        <v>110.04179431037815</v>
      </c>
    </row>
    <row r="49" spans="2:18" s="82" customFormat="1" ht="16.5" thickBot="1">
      <c r="B49" s="204" t="s">
        <v>4</v>
      </c>
      <c r="C49" s="205">
        <v>150</v>
      </c>
      <c r="D49" s="206">
        <v>140</v>
      </c>
      <c r="E49" s="207">
        <v>200</v>
      </c>
      <c r="F49" s="300">
        <f t="shared" si="4"/>
        <v>150</v>
      </c>
      <c r="G49" s="301">
        <f t="shared" si="4"/>
        <v>140</v>
      </c>
      <c r="H49" s="302">
        <f t="shared" si="4"/>
        <v>200</v>
      </c>
      <c r="I49" s="373">
        <f t="shared" si="5"/>
        <v>150.04179431037818</v>
      </c>
      <c r="J49" s="300">
        <v>100</v>
      </c>
      <c r="K49" s="324">
        <f t="shared" si="6"/>
        <v>15</v>
      </c>
      <c r="L49" s="320">
        <f t="shared" si="6"/>
        <v>15</v>
      </c>
      <c r="M49" s="384">
        <f t="shared" si="6"/>
        <v>15</v>
      </c>
      <c r="N49" s="301">
        <f t="shared" si="7"/>
        <v>15</v>
      </c>
      <c r="O49" s="300">
        <f t="shared" si="8"/>
        <v>135</v>
      </c>
      <c r="P49" s="301">
        <f t="shared" si="8"/>
        <v>125</v>
      </c>
      <c r="Q49" s="302">
        <f t="shared" si="8"/>
        <v>185</v>
      </c>
      <c r="R49" s="307">
        <f>SUM(O49*$E$23)+(P49*$E$24)+(Q49*$E$25)</f>
        <v>135.04179431037818</v>
      </c>
    </row>
    <row r="50" spans="2:18" ht="16.5" thickBot="1">
      <c r="B50" s="73" t="s">
        <v>29</v>
      </c>
      <c r="C50" s="74">
        <f aca="true" t="shared" si="9" ref="C50:H50">SUM(C45*$D$15)+(C46*$D$16)+(C47*$D$17)+(C48*$D$18)+(C49*$D$19)</f>
        <v>160.2807190347205</v>
      </c>
      <c r="D50" s="75">
        <f t="shared" si="9"/>
        <v>144.2817040137897</v>
      </c>
      <c r="E50" s="76">
        <f t="shared" si="9"/>
        <v>199.99999999999997</v>
      </c>
      <c r="F50" s="303">
        <f t="shared" si="9"/>
        <v>160.2807190347205</v>
      </c>
      <c r="G50" s="304">
        <f t="shared" si="9"/>
        <v>144.2817040137897</v>
      </c>
      <c r="H50" s="305">
        <f t="shared" si="9"/>
        <v>199.99999999999997</v>
      </c>
      <c r="I50" s="308">
        <f t="shared" si="5"/>
        <v>156.54924273609973</v>
      </c>
      <c r="J50" s="308">
        <v>100</v>
      </c>
      <c r="K50" s="382">
        <f>SUM(K45*$D$15)+(K46*$D$16)+(K47*$D$17)+(K48*$D$18)+(K49*$D$19)</f>
        <v>40.1202913896413</v>
      </c>
      <c r="L50" s="383">
        <f>SUM(L45*$D$15)+(L46*$D$16)+(L47*$D$17)+(L48*$D$18)+(L49*$D$19)</f>
        <v>40.1202913896413</v>
      </c>
      <c r="M50" s="313">
        <f>SUM(M45*$D$15)+(M46*$D$16)+(M47*$D$17)+(M48*$D$18)+(M49*$D$19)</f>
        <v>40.1202913896413</v>
      </c>
      <c r="N50" s="304">
        <f t="shared" si="7"/>
        <v>40.1202913896413</v>
      </c>
      <c r="O50" s="303">
        <f>SUM(O45*$D$15)+(O46*$D$16)+(O47*$D$17)+(O48*$D$18)+(O49*$D$19)</f>
        <v>120.16042764507921</v>
      </c>
      <c r="P50" s="304">
        <f>SUM(P45*$D$15)+(P46*$D$16)+(P47*$D$17)+(P48*$D$18)+(P49*$D$19)</f>
        <v>104.16141262414841</v>
      </c>
      <c r="Q50" s="305">
        <f>SUM(Q45*$D$15)+(Q46*$D$16)+(Q47*$D$17)+(Q48*$D$18)+(Q49*$D$19)</f>
        <v>159.8797086103587</v>
      </c>
      <c r="R50" s="308">
        <f>SUM(R45*$D$15)+(R46*$D$16)+(R47*$D$17)+(R48*$D$18)+(R49*$D$19)</f>
        <v>116.42895134645843</v>
      </c>
    </row>
    <row r="51" spans="17:20" ht="16.5" thickBot="1">
      <c r="Q51" s="39"/>
      <c r="T51" s="38"/>
    </row>
    <row r="52" spans="2:20" ht="16.5" thickBot="1">
      <c r="B52" s="91" t="s">
        <v>26</v>
      </c>
      <c r="C52" s="77" t="s">
        <v>27</v>
      </c>
      <c r="D52" s="44" t="s">
        <v>28</v>
      </c>
      <c r="E52" s="77" t="s">
        <v>73</v>
      </c>
      <c r="F52" s="44"/>
      <c r="G52" s="45"/>
      <c r="H52" s="44" t="s">
        <v>90</v>
      </c>
      <c r="I52" s="44"/>
      <c r="J52" s="45"/>
      <c r="K52" s="108"/>
      <c r="T52" s="38"/>
    </row>
    <row r="53" spans="2:14" s="82" customFormat="1" ht="15.75">
      <c r="B53" s="200" t="s">
        <v>0</v>
      </c>
      <c r="C53" s="19">
        <f>D53/F1</f>
        <v>0.5418108945163054</v>
      </c>
      <c r="D53" s="309">
        <f>'Actual Farmer Income'!H3</f>
        <v>1487</v>
      </c>
      <c r="E53" s="310">
        <v>95</v>
      </c>
      <c r="F53" s="208">
        <f>E53/$F$1</f>
        <v>0.03461468391328111</v>
      </c>
      <c r="G53" s="314">
        <f aca="true" t="shared" si="10" ref="G53:G58">F53*$F$1</f>
        <v>95.00000000000001</v>
      </c>
      <c r="H53" s="209">
        <f>1-C53-F53</f>
        <v>0.42357442157041353</v>
      </c>
      <c r="I53" s="209"/>
      <c r="J53" s="314">
        <f aca="true" t="shared" si="11" ref="J53:J58">H53*$F$1</f>
        <v>1162.5</v>
      </c>
      <c r="K53" s="132">
        <f>J53/3</f>
        <v>387.5</v>
      </c>
      <c r="L53" s="210"/>
      <c r="M53" s="211"/>
      <c r="N53" s="210"/>
    </row>
    <row r="54" spans="2:14" s="82" customFormat="1" ht="15.75">
      <c r="B54" s="200" t="s">
        <v>1</v>
      </c>
      <c r="C54" s="10">
        <f>D54/F1</f>
        <v>0.593915102933139</v>
      </c>
      <c r="D54" s="132">
        <f>'Actual Farmer Income'!H4</f>
        <v>1630</v>
      </c>
      <c r="E54" s="297">
        <v>102</v>
      </c>
      <c r="F54" s="208">
        <f>E54/$F$1</f>
        <v>0.03716523957004919</v>
      </c>
      <c r="G54" s="314">
        <f t="shared" si="10"/>
        <v>102</v>
      </c>
      <c r="H54" s="209">
        <f>1-C54-F54</f>
        <v>0.3689196574968118</v>
      </c>
      <c r="I54" s="209"/>
      <c r="J54" s="314">
        <f t="shared" si="11"/>
        <v>1012.5</v>
      </c>
      <c r="K54" s="132"/>
      <c r="L54" s="210"/>
      <c r="M54" s="211"/>
      <c r="N54" s="210"/>
    </row>
    <row r="55" spans="2:14" s="82" customFormat="1" ht="15.75">
      <c r="B55" s="200" t="s">
        <v>2</v>
      </c>
      <c r="C55" s="10">
        <v>0.9</v>
      </c>
      <c r="D55" s="132">
        <f>C55*$F$1</f>
        <v>2470.05</v>
      </c>
      <c r="E55" s="310">
        <v>95</v>
      </c>
      <c r="F55" s="208">
        <f>E55/$F$1</f>
        <v>0.03461468391328111</v>
      </c>
      <c r="G55" s="314">
        <f t="shared" si="10"/>
        <v>95.00000000000001</v>
      </c>
      <c r="H55" s="209">
        <f>1-C55-F55</f>
        <v>0.06538531608671887</v>
      </c>
      <c r="I55" s="209"/>
      <c r="J55" s="314">
        <f t="shared" si="11"/>
        <v>179.44999999999993</v>
      </c>
      <c r="K55" s="132"/>
      <c r="L55" s="210"/>
      <c r="M55" s="211"/>
      <c r="N55" s="210"/>
    </row>
    <row r="56" spans="2:14" s="82" customFormat="1" ht="15.75">
      <c r="B56" s="200" t="s">
        <v>3</v>
      </c>
      <c r="C56" s="10">
        <v>0.7</v>
      </c>
      <c r="D56" s="132">
        <f>C56*$F$1</f>
        <v>1921.1499999999999</v>
      </c>
      <c r="E56" s="310">
        <v>95</v>
      </c>
      <c r="F56" s="208">
        <f>E56/$F$1</f>
        <v>0.03461468391328111</v>
      </c>
      <c r="G56" s="314">
        <f t="shared" si="10"/>
        <v>95.00000000000001</v>
      </c>
      <c r="H56" s="209">
        <f>1-C56-F56</f>
        <v>0.26538531608671895</v>
      </c>
      <c r="I56" s="209"/>
      <c r="J56" s="314">
        <f t="shared" si="11"/>
        <v>728.3500000000001</v>
      </c>
      <c r="K56" s="132"/>
      <c r="L56" s="210"/>
      <c r="M56" s="211"/>
      <c r="N56" s="210"/>
    </row>
    <row r="57" spans="2:14" s="82" customFormat="1" ht="16.5" thickBot="1">
      <c r="B57" s="204" t="s">
        <v>4</v>
      </c>
      <c r="C57" s="107">
        <v>0.9</v>
      </c>
      <c r="D57" s="311">
        <f>C57*$F$1</f>
        <v>2470.05</v>
      </c>
      <c r="E57" s="312">
        <v>95</v>
      </c>
      <c r="F57" s="212">
        <f>E57/$F$1</f>
        <v>0.03461468391328111</v>
      </c>
      <c r="G57" s="315">
        <f t="shared" si="10"/>
        <v>95.00000000000001</v>
      </c>
      <c r="H57" s="209">
        <f>1-C57-F57</f>
        <v>0.06538531608671887</v>
      </c>
      <c r="I57" s="209"/>
      <c r="J57" s="314">
        <f t="shared" si="11"/>
        <v>179.44999999999993</v>
      </c>
      <c r="K57" s="132"/>
      <c r="L57" s="210"/>
      <c r="M57" s="211"/>
      <c r="N57" s="210"/>
    </row>
    <row r="58" spans="2:12" s="82" customFormat="1" ht="16.5" thickBot="1">
      <c r="B58" s="78" t="s">
        <v>29</v>
      </c>
      <c r="C58" s="79">
        <f>SUM(C53*$D$15)+(C54*$D$16)+(C55*$D$17)+(C56*$D$18)+(C57*$D$19)</f>
        <v>0.6828128778880318</v>
      </c>
      <c r="D58" s="313">
        <f>C58*$F$1</f>
        <v>1873.9799433637033</v>
      </c>
      <c r="E58" s="298">
        <f>SUM(E53*$D$15)+(E54*$D$16)+(E55*$D$17)+(E56*$D$18)+(E57*$D$19)</f>
        <v>96.43930066486087</v>
      </c>
      <c r="F58" s="80">
        <f>SUM(F53*$D$15)+(F54*$D$16)+(F55*$D$17)+(F56*$D$18)+(F57*$D$19)</f>
        <v>0.0351391148350741</v>
      </c>
      <c r="G58" s="313">
        <f t="shared" si="10"/>
        <v>96.43930066486087</v>
      </c>
      <c r="H58" s="83">
        <f>SUM(H53*$D$15)+(H54*$D$16)+(H55*$D$17)+(H56*$D$18)+(H57*$D$19)</f>
        <v>0.282048007276894</v>
      </c>
      <c r="I58" s="213"/>
      <c r="J58" s="305">
        <f t="shared" si="11"/>
        <v>774.0807559714356</v>
      </c>
      <c r="K58" s="316"/>
      <c r="L58" s="81"/>
    </row>
    <row r="59" spans="10:20" ht="16.5" thickBot="1">
      <c r="J59" s="105"/>
      <c r="K59" s="105"/>
      <c r="S59" s="39"/>
      <c r="T59" s="38"/>
    </row>
    <row r="60" spans="2:3" s="39" customFormat="1" ht="16.5" thickBot="1">
      <c r="B60" s="93" t="s">
        <v>20</v>
      </c>
      <c r="C60" s="56" t="s">
        <v>57</v>
      </c>
    </row>
    <row r="61" spans="2:3" s="39" customFormat="1" ht="15.75">
      <c r="B61" s="46" t="s">
        <v>0</v>
      </c>
      <c r="C61" s="328">
        <v>45</v>
      </c>
    </row>
    <row r="62" spans="2:3" s="39" customFormat="1" ht="15.75">
      <c r="B62" s="46" t="s">
        <v>59</v>
      </c>
      <c r="C62" s="328">
        <v>55</v>
      </c>
    </row>
    <row r="63" spans="2:3" s="39" customFormat="1" ht="15.75">
      <c r="B63" s="46" t="s">
        <v>2</v>
      </c>
      <c r="C63" s="328">
        <v>45</v>
      </c>
    </row>
    <row r="64" spans="2:10" s="39" customFormat="1" ht="15.75">
      <c r="B64" s="46" t="s">
        <v>3</v>
      </c>
      <c r="C64" s="328">
        <v>45</v>
      </c>
      <c r="I64" s="97"/>
      <c r="J64" s="97"/>
    </row>
    <row r="65" spans="2:5" s="39" customFormat="1" ht="16.5" thickBot="1">
      <c r="B65" s="48" t="s">
        <v>4</v>
      </c>
      <c r="C65" s="329">
        <v>50</v>
      </c>
      <c r="D65" s="1"/>
      <c r="E65" s="68"/>
    </row>
    <row r="66" spans="2:20" ht="16.5" thickBot="1">
      <c r="B66" s="49" t="s">
        <v>29</v>
      </c>
      <c r="C66" s="330">
        <f>SUM(C61*$D$15)+(C62*$D$16)+(C63*$D$17)+(C64*$D$18)+(C65*$D$19)</f>
        <v>47.72592957399655</v>
      </c>
      <c r="P66" s="39"/>
      <c r="T66" s="38"/>
    </row>
    <row r="67" spans="16:20" ht="15.75">
      <c r="P67" s="39"/>
      <c r="T67" s="38"/>
    </row>
    <row r="68" spans="17:20" ht="16.5" thickBot="1">
      <c r="Q68" s="39"/>
      <c r="T68" s="38"/>
    </row>
    <row r="69" spans="2:20" ht="16.5" thickBot="1">
      <c r="B69" s="92" t="s">
        <v>63</v>
      </c>
      <c r="C69" s="56"/>
      <c r="D69" s="350" t="s">
        <v>101</v>
      </c>
      <c r="S69" s="39"/>
      <c r="T69" s="38"/>
    </row>
    <row r="70" spans="2:20" ht="15.75">
      <c r="B70" s="57" t="s">
        <v>62</v>
      </c>
      <c r="C70" s="325" t="s">
        <v>23</v>
      </c>
      <c r="D70" s="351">
        <v>184</v>
      </c>
      <c r="S70" s="39"/>
      <c r="T70" s="38"/>
    </row>
    <row r="71" spans="2:8" ht="15.75">
      <c r="B71" s="57" t="s">
        <v>64</v>
      </c>
      <c r="C71" s="325" t="s">
        <v>24</v>
      </c>
      <c r="D71" s="351">
        <v>229</v>
      </c>
      <c r="H71" s="214"/>
    </row>
    <row r="72" spans="2:8" ht="16.5" thickBot="1">
      <c r="B72" s="60" t="s">
        <v>65</v>
      </c>
      <c r="C72" s="326" t="s">
        <v>25</v>
      </c>
      <c r="D72" s="351">
        <v>264</v>
      </c>
      <c r="H72" s="215"/>
    </row>
    <row r="73" spans="2:4" ht="16.5" thickBot="1">
      <c r="B73" s="61" t="s">
        <v>29</v>
      </c>
      <c r="C73" s="327">
        <f>SUM(D70*SUM(D15:D17))+(D71*D19)+(D18*D72)</f>
        <v>200.60674710662397</v>
      </c>
      <c r="D73" s="350"/>
    </row>
    <row r="74" ht="16.5" thickBot="1"/>
    <row r="75" spans="2:5" ht="16.5" thickBot="1">
      <c r="B75" s="93" t="s">
        <v>211</v>
      </c>
      <c r="C75" s="99" t="s">
        <v>44</v>
      </c>
      <c r="D75" s="99" t="s">
        <v>91</v>
      </c>
      <c r="E75" s="56" t="s">
        <v>11</v>
      </c>
    </row>
    <row r="76" spans="2:5" ht="15.75">
      <c r="B76" s="358" t="s">
        <v>212</v>
      </c>
      <c r="C76" s="352">
        <v>1000000</v>
      </c>
      <c r="D76" s="354">
        <f>C76*$C$10</f>
        <v>4433587862.719711</v>
      </c>
      <c r="E76" s="356">
        <f>D76*7%</f>
        <v>310351150.39037985</v>
      </c>
    </row>
    <row r="77" spans="2:5" ht="15.75">
      <c r="B77" s="358" t="s">
        <v>213</v>
      </c>
      <c r="C77" s="352">
        <v>500000</v>
      </c>
      <c r="D77" s="354">
        <f aca="true" t="shared" si="12" ref="D77:D83">C77*$C$10</f>
        <v>2216793931.3598557</v>
      </c>
      <c r="E77" s="356">
        <f aca="true" t="shared" si="13" ref="E77:E83">D77*7%</f>
        <v>155175575.19518992</v>
      </c>
    </row>
    <row r="78" spans="2:5" ht="15.75">
      <c r="B78" s="358" t="s">
        <v>214</v>
      </c>
      <c r="C78" s="352">
        <v>500000</v>
      </c>
      <c r="D78" s="354">
        <f t="shared" si="12"/>
        <v>2216793931.3598557</v>
      </c>
      <c r="E78" s="356">
        <f t="shared" si="13"/>
        <v>155175575.19518992</v>
      </c>
    </row>
    <row r="79" spans="2:5" ht="15.75">
      <c r="B79" s="358" t="s">
        <v>215</v>
      </c>
      <c r="C79" s="352">
        <v>450000</v>
      </c>
      <c r="D79" s="354">
        <f t="shared" si="12"/>
        <v>1995114538.2238703</v>
      </c>
      <c r="E79" s="356">
        <f t="shared" si="13"/>
        <v>139658017.67567092</v>
      </c>
    </row>
    <row r="80" spans="2:5" ht="15.75">
      <c r="B80" s="358" t="s">
        <v>68</v>
      </c>
      <c r="C80" s="352">
        <v>430000</v>
      </c>
      <c r="D80" s="354">
        <f t="shared" si="12"/>
        <v>1906442780.969476</v>
      </c>
      <c r="E80" s="356">
        <f t="shared" si="13"/>
        <v>133450994.66786332</v>
      </c>
    </row>
    <row r="81" spans="2:5" ht="15.75">
      <c r="B81" s="358" t="s">
        <v>60</v>
      </c>
      <c r="C81" s="352">
        <v>275000</v>
      </c>
      <c r="D81" s="354">
        <f t="shared" si="12"/>
        <v>1219236662.2479208</v>
      </c>
      <c r="E81" s="356">
        <f t="shared" si="13"/>
        <v>85346566.35735446</v>
      </c>
    </row>
    <row r="82" spans="2:8" ht="15.75">
      <c r="B82" s="358" t="s">
        <v>67</v>
      </c>
      <c r="C82" s="352">
        <v>200000</v>
      </c>
      <c r="D82" s="354">
        <f t="shared" si="12"/>
        <v>886717572.5439423</v>
      </c>
      <c r="E82" s="356">
        <f t="shared" si="13"/>
        <v>62070230.07807597</v>
      </c>
      <c r="F82" s="100"/>
      <c r="G82" s="106"/>
      <c r="H82" s="100"/>
    </row>
    <row r="83" spans="2:20" ht="16.5" thickBot="1">
      <c r="B83" s="359" t="s">
        <v>61</v>
      </c>
      <c r="C83" s="353">
        <v>150000</v>
      </c>
      <c r="D83" s="355">
        <f t="shared" si="12"/>
        <v>665038179.4079567</v>
      </c>
      <c r="E83" s="357">
        <f t="shared" si="13"/>
        <v>46552672.558556974</v>
      </c>
      <c r="G83" s="52"/>
      <c r="P83" s="39"/>
      <c r="T83" s="38"/>
    </row>
    <row r="84" spans="16:20" ht="16.5" thickBot="1">
      <c r="P84" s="39"/>
      <c r="T84" s="38"/>
    </row>
    <row r="85" spans="2:5" ht="16.5" thickBot="1">
      <c r="B85" s="90" t="s">
        <v>81</v>
      </c>
      <c r="C85" s="227"/>
      <c r="D85" s="53"/>
      <c r="E85" s="33"/>
    </row>
    <row r="86" spans="2:12" ht="15.75">
      <c r="B86" s="84" t="s">
        <v>78</v>
      </c>
      <c r="C86" s="228"/>
      <c r="D86" s="85">
        <f>C9*C1</f>
        <v>3038.2942766559954</v>
      </c>
      <c r="E86" s="86">
        <f>D86/$C$1</f>
        <v>3038.2942766559954</v>
      </c>
      <c r="F86" s="52"/>
      <c r="G86" s="104"/>
      <c r="H86" s="100"/>
      <c r="I86" s="100"/>
      <c r="J86" s="102"/>
      <c r="K86" s="102"/>
      <c r="L86" s="105"/>
    </row>
    <row r="87" spans="2:12" ht="31.5">
      <c r="B87" s="84" t="s">
        <v>153</v>
      </c>
      <c r="C87" s="229">
        <v>0.1496</v>
      </c>
      <c r="D87" s="85">
        <f>D86*C87</f>
        <v>454.52882378773694</v>
      </c>
      <c r="E87" s="86">
        <f>E86*C87</f>
        <v>454.52882378773694</v>
      </c>
      <c r="F87" s="101"/>
      <c r="G87" s="104"/>
      <c r="H87" s="100"/>
      <c r="I87" s="100"/>
      <c r="J87" s="103"/>
      <c r="K87" s="103"/>
      <c r="L87" s="105"/>
    </row>
    <row r="88" spans="2:12" ht="15.75">
      <c r="B88" s="84" t="s">
        <v>79</v>
      </c>
      <c r="C88" s="230"/>
      <c r="D88" s="85">
        <v>650</v>
      </c>
      <c r="E88" s="86">
        <f>D88/$C$1</f>
        <v>650</v>
      </c>
      <c r="F88" s="101"/>
      <c r="G88" s="104"/>
      <c r="H88" s="100"/>
      <c r="I88" s="100"/>
      <c r="J88" s="103"/>
      <c r="K88" s="103"/>
      <c r="L88" s="105"/>
    </row>
    <row r="89" spans="2:12" ht="15.75">
      <c r="B89" s="84" t="s">
        <v>80</v>
      </c>
      <c r="C89" s="230">
        <v>0.0261</v>
      </c>
      <c r="D89" s="85">
        <f>D86*C89</f>
        <v>79.29948062072148</v>
      </c>
      <c r="E89" s="86">
        <f>D89/$C$1</f>
        <v>79.29948062072148</v>
      </c>
      <c r="F89" s="101"/>
      <c r="G89" s="104"/>
      <c r="H89" s="100"/>
      <c r="I89" s="100"/>
      <c r="J89" s="103"/>
      <c r="K89" s="103"/>
      <c r="L89" s="105"/>
    </row>
    <row r="90" spans="2:12" ht="15.75">
      <c r="B90" s="84" t="s">
        <v>11</v>
      </c>
      <c r="C90" s="231">
        <v>0.0696</v>
      </c>
      <c r="D90" s="85">
        <f>C90*D86</f>
        <v>211.46528165525726</v>
      </c>
      <c r="E90" s="86">
        <f>C90*E86</f>
        <v>211.46528165525726</v>
      </c>
      <c r="F90" s="101"/>
      <c r="G90" s="104"/>
      <c r="H90" s="100"/>
      <c r="I90" s="100"/>
      <c r="J90" s="103"/>
      <c r="K90" s="103"/>
      <c r="L90" s="105"/>
    </row>
    <row r="91" spans="2:12" ht="16.5" thickBot="1">
      <c r="B91" s="49" t="s">
        <v>15</v>
      </c>
      <c r="C91" s="232"/>
      <c r="D91" s="87">
        <f>SUM(D86:D90)</f>
        <v>4433.587862719712</v>
      </c>
      <c r="E91" s="88">
        <f>SUM(E86:E90)</f>
        <v>4433.587862719712</v>
      </c>
      <c r="F91" s="100"/>
      <c r="G91" s="104"/>
      <c r="H91" s="100"/>
      <c r="I91" s="100"/>
      <c r="J91" s="103"/>
      <c r="K91" s="103"/>
      <c r="L91" s="105"/>
    </row>
    <row r="92" ht="15.75"/>
    <row r="93" spans="2:22" s="82" customFormat="1" ht="16.5" thickBot="1">
      <c r="B93" s="114"/>
      <c r="F93" s="40"/>
      <c r="G93" s="40"/>
      <c r="H93" s="40"/>
      <c r="I93" s="40"/>
      <c r="J93" s="40"/>
      <c r="K93" s="40"/>
      <c r="L93" s="40"/>
      <c r="M93" s="115"/>
      <c r="N93" s="40"/>
      <c r="O93" s="40"/>
      <c r="P93" s="40"/>
      <c r="Q93" s="40"/>
      <c r="R93" s="40"/>
      <c r="S93" s="40"/>
      <c r="T93" s="40"/>
      <c r="U93" s="40"/>
      <c r="V93" s="163"/>
    </row>
    <row r="94" spans="2:22" s="82" customFormat="1" ht="16.5" thickBot="1">
      <c r="B94" s="90" t="s">
        <v>146</v>
      </c>
      <c r="C94" s="55" t="s">
        <v>92</v>
      </c>
      <c r="D94" s="178" t="s">
        <v>12</v>
      </c>
      <c r="E94" s="181" t="s">
        <v>142</v>
      </c>
      <c r="F94" s="132"/>
      <c r="G94" s="132"/>
      <c r="H94" s="132"/>
      <c r="I94" s="132"/>
      <c r="J94" s="132"/>
      <c r="K94" s="132"/>
      <c r="L94" s="160"/>
      <c r="M94" s="40"/>
      <c r="N94" s="40"/>
      <c r="O94" s="40"/>
      <c r="P94" s="40"/>
      <c r="Q94" s="40"/>
      <c r="R94" s="40"/>
      <c r="S94" s="40"/>
      <c r="T94" s="40"/>
      <c r="U94" s="40"/>
      <c r="V94" s="163"/>
    </row>
    <row r="95" spans="2:22" s="82" customFormat="1" ht="15.75">
      <c r="B95" s="111" t="s">
        <v>138</v>
      </c>
      <c r="C95" s="266">
        <f>D11*0.32</f>
        <v>1418.7481160703078</v>
      </c>
      <c r="D95" s="179">
        <f aca="true" t="shared" si="14" ref="D95:D100">C95/$C$102</f>
        <v>0.13066202090592333</v>
      </c>
      <c r="E95" s="182">
        <v>0.075</v>
      </c>
      <c r="F95" s="40"/>
      <c r="G95" s="41"/>
      <c r="H95" s="128"/>
      <c r="I95" s="128"/>
      <c r="J95" s="135"/>
      <c r="K95" s="41"/>
      <c r="L95" s="161"/>
      <c r="M95" s="41"/>
      <c r="N95" s="40"/>
      <c r="O95" s="40"/>
      <c r="P95" s="40"/>
      <c r="Q95" s="40"/>
      <c r="R95" s="40"/>
      <c r="S95" s="40"/>
      <c r="T95" s="40"/>
      <c r="U95" s="40"/>
      <c r="V95" s="163"/>
    </row>
    <row r="96" spans="2:22" s="82" customFormat="1" ht="15.75">
      <c r="B96" s="111" t="s">
        <v>105</v>
      </c>
      <c r="C96" s="266">
        <f>E96*$F$132</f>
        <v>2137.580494879264</v>
      </c>
      <c r="D96" s="179">
        <f t="shared" si="14"/>
        <v>0.19686411149825783</v>
      </c>
      <c r="E96" s="182">
        <v>0.113</v>
      </c>
      <c r="F96" s="40"/>
      <c r="G96" s="41"/>
      <c r="H96" s="128"/>
      <c r="I96" s="128"/>
      <c r="J96" s="135"/>
      <c r="K96" s="41"/>
      <c r="L96" s="161"/>
      <c r="M96" s="41"/>
      <c r="N96" s="40"/>
      <c r="O96" s="40"/>
      <c r="P96" s="40"/>
      <c r="Q96" s="40"/>
      <c r="R96" s="40"/>
      <c r="S96" s="40"/>
      <c r="T96" s="40"/>
      <c r="U96" s="40"/>
      <c r="V96" s="163"/>
    </row>
    <row r="97" spans="2:22" s="82" customFormat="1" ht="15.75">
      <c r="B97" s="111" t="s">
        <v>141</v>
      </c>
      <c r="C97" s="266">
        <f>E97*$F$132</f>
        <v>1702.4977392843693</v>
      </c>
      <c r="D97" s="179">
        <f t="shared" si="14"/>
        <v>0.156794425087108</v>
      </c>
      <c r="E97" s="182">
        <v>0.09</v>
      </c>
      <c r="F97" s="40"/>
      <c r="G97" s="41"/>
      <c r="H97" s="370"/>
      <c r="I97" s="128"/>
      <c r="J97" s="370"/>
      <c r="K97" s="41"/>
      <c r="L97" s="161"/>
      <c r="M97" s="41"/>
      <c r="N97" s="40"/>
      <c r="O97" s="40"/>
      <c r="P97" s="40"/>
      <c r="Q97" s="40"/>
      <c r="R97" s="40"/>
      <c r="S97" s="40"/>
      <c r="T97" s="40"/>
      <c r="U97" s="40"/>
      <c r="V97" s="163"/>
    </row>
    <row r="98" spans="2:22" s="82" customFormat="1" ht="15.75">
      <c r="B98" s="111" t="s">
        <v>140</v>
      </c>
      <c r="C98" s="266">
        <f>E98*$F$132</f>
        <v>1607.914531546349</v>
      </c>
      <c r="D98" s="179">
        <f t="shared" si="14"/>
        <v>0.1480836236933798</v>
      </c>
      <c r="E98" s="182">
        <v>0.085</v>
      </c>
      <c r="F98" s="40"/>
      <c r="G98" s="41"/>
      <c r="H98" s="370"/>
      <c r="I98" s="128"/>
      <c r="J98" s="370"/>
      <c r="K98" s="41"/>
      <c r="L98" s="40"/>
      <c r="M98" s="41"/>
      <c r="N98" s="41"/>
      <c r="O98" s="40"/>
      <c r="P98" s="40"/>
      <c r="Q98" s="40"/>
      <c r="R98" s="40"/>
      <c r="S98" s="40"/>
      <c r="T98" s="40"/>
      <c r="U98" s="40"/>
      <c r="V98" s="163"/>
    </row>
    <row r="99" spans="2:22" s="82" customFormat="1" ht="15.75">
      <c r="B99" s="111" t="s">
        <v>118</v>
      </c>
      <c r="C99" s="266">
        <f>E99*$F$132</f>
        <v>1607.914531546349</v>
      </c>
      <c r="D99" s="179">
        <f t="shared" si="14"/>
        <v>0.1480836236933798</v>
      </c>
      <c r="E99" s="182">
        <v>0.085</v>
      </c>
      <c r="F99" s="40"/>
      <c r="G99" s="41"/>
      <c r="H99" s="128"/>
      <c r="I99" s="128"/>
      <c r="J99" s="370"/>
      <c r="K99" s="41"/>
      <c r="L99" s="40"/>
      <c r="M99" s="41"/>
      <c r="N99" s="41"/>
      <c r="O99" s="40"/>
      <c r="P99" s="40"/>
      <c r="Q99" s="40"/>
      <c r="R99" s="40"/>
      <c r="S99" s="40"/>
      <c r="T99" s="40"/>
      <c r="U99" s="40"/>
      <c r="V99" s="163"/>
    </row>
    <row r="100" spans="2:22" s="82" customFormat="1" ht="15.75">
      <c r="B100" s="111" t="s">
        <v>119</v>
      </c>
      <c r="C100" s="266">
        <f>E100*$F$132</f>
        <v>1513.3313238083283</v>
      </c>
      <c r="D100" s="179">
        <f t="shared" si="14"/>
        <v>0.13937282229965153</v>
      </c>
      <c r="E100" s="182">
        <v>0.08</v>
      </c>
      <c r="F100" s="40"/>
      <c r="G100" s="41"/>
      <c r="H100" s="128"/>
      <c r="I100" s="128"/>
      <c r="J100" s="189"/>
      <c r="K100" s="41"/>
      <c r="L100" s="40"/>
      <c r="M100" s="41"/>
      <c r="N100" s="41"/>
      <c r="O100" s="40"/>
      <c r="P100" s="40"/>
      <c r="Q100" s="40"/>
      <c r="R100" s="40"/>
      <c r="S100" s="40"/>
      <c r="T100" s="40"/>
      <c r="U100" s="40"/>
      <c r="V100" s="163"/>
    </row>
    <row r="101" spans="2:22" s="82" customFormat="1" ht="16.5" thickBot="1">
      <c r="B101" s="111" t="s">
        <v>83</v>
      </c>
      <c r="C101" s="266">
        <f>E101*F132</f>
        <v>870.1655111897887</v>
      </c>
      <c r="D101" s="179">
        <f>C101/C102</f>
        <v>0.08013937282229963</v>
      </c>
      <c r="E101" s="182">
        <v>0.046</v>
      </c>
      <c r="F101" s="40"/>
      <c r="G101" s="41"/>
      <c r="H101" s="128"/>
      <c r="I101" s="128"/>
      <c r="J101" s="189"/>
      <c r="K101" s="41"/>
      <c r="L101" s="162"/>
      <c r="M101" s="41"/>
      <c r="N101" s="41"/>
      <c r="O101" s="40"/>
      <c r="P101" s="40"/>
      <c r="Q101" s="40"/>
      <c r="R101" s="40"/>
      <c r="S101" s="40"/>
      <c r="T101" s="40"/>
      <c r="U101" s="40"/>
      <c r="V101" s="163"/>
    </row>
    <row r="102" spans="2:22" s="113" customFormat="1" ht="16.5" thickBot="1">
      <c r="B102" s="112" t="s">
        <v>84</v>
      </c>
      <c r="C102" s="319">
        <f>SUM(C95:C101)</f>
        <v>10858.152248324757</v>
      </c>
      <c r="D102" s="180">
        <f>SUM(D95:D101)</f>
        <v>1</v>
      </c>
      <c r="E102" s="183">
        <f>SUM(E95:E101)</f>
        <v>0.5740000000000001</v>
      </c>
      <c r="F102" s="131"/>
      <c r="G102" s="129"/>
      <c r="H102" s="164"/>
      <c r="I102" s="164"/>
      <c r="J102" s="189"/>
      <c r="K102" s="129"/>
      <c r="L102" s="162"/>
      <c r="M102" s="41"/>
      <c r="N102" s="41"/>
      <c r="O102" s="139"/>
      <c r="P102" s="139"/>
      <c r="Q102" s="139"/>
      <c r="R102" s="139"/>
      <c r="S102" s="139"/>
      <c r="T102" s="139"/>
      <c r="U102" s="139"/>
      <c r="V102" s="165"/>
    </row>
    <row r="103" spans="2:24" s="139" customFormat="1" ht="16.5" thickBot="1">
      <c r="B103" s="186"/>
      <c r="C103" s="129"/>
      <c r="D103" s="187"/>
      <c r="E103" s="188"/>
      <c r="F103" s="131"/>
      <c r="G103" s="177"/>
      <c r="I103" s="129"/>
      <c r="J103" s="164"/>
      <c r="K103" s="164"/>
      <c r="L103" s="189"/>
      <c r="M103" s="129"/>
      <c r="N103" s="162"/>
      <c r="O103" s="41"/>
      <c r="P103" s="41"/>
      <c r="X103" s="165"/>
    </row>
    <row r="104" spans="2:20" ht="16.5" thickBot="1">
      <c r="B104" s="91" t="s">
        <v>93</v>
      </c>
      <c r="C104" s="98" t="s">
        <v>44</v>
      </c>
      <c r="D104" s="99" t="s">
        <v>91</v>
      </c>
      <c r="E104" s="56" t="s">
        <v>11</v>
      </c>
      <c r="S104" s="39"/>
      <c r="T104" s="38"/>
    </row>
    <row r="105" spans="2:20" ht="15.75">
      <c r="B105" s="360" t="s">
        <v>94</v>
      </c>
      <c r="C105" s="361">
        <v>450000</v>
      </c>
      <c r="D105" s="366">
        <f aca="true" t="shared" si="15" ref="D105:D110">C105*$C$11</f>
        <v>4886168511.7461405</v>
      </c>
      <c r="E105" s="367">
        <f aca="true" t="shared" si="16" ref="E105:E110">D105*8%</f>
        <v>390893480.93969125</v>
      </c>
      <c r="S105" s="39"/>
      <c r="T105" s="38"/>
    </row>
    <row r="106" spans="2:20" ht="15.75">
      <c r="B106" s="360" t="s">
        <v>95</v>
      </c>
      <c r="C106" s="362">
        <v>430000</v>
      </c>
      <c r="D106" s="364">
        <f t="shared" si="15"/>
        <v>4669005466.779646</v>
      </c>
      <c r="E106" s="365">
        <f t="shared" si="16"/>
        <v>373520437.3423717</v>
      </c>
      <c r="S106" s="39"/>
      <c r="T106" s="38"/>
    </row>
    <row r="107" spans="2:20" ht="15.75">
      <c r="B107" s="360" t="s">
        <v>96</v>
      </c>
      <c r="C107" s="362">
        <v>390000</v>
      </c>
      <c r="D107" s="364">
        <f t="shared" si="15"/>
        <v>4234679376.8466554</v>
      </c>
      <c r="E107" s="365">
        <f t="shared" si="16"/>
        <v>338774350.14773244</v>
      </c>
      <c r="S107" s="39"/>
      <c r="T107" s="38"/>
    </row>
    <row r="108" spans="2:20" ht="15.75">
      <c r="B108" s="360" t="s">
        <v>97</v>
      </c>
      <c r="C108" s="362">
        <v>200000</v>
      </c>
      <c r="D108" s="364">
        <f t="shared" si="15"/>
        <v>2171630449.6649513</v>
      </c>
      <c r="E108" s="365">
        <f t="shared" si="16"/>
        <v>173730435.97319612</v>
      </c>
      <c r="F108" s="233"/>
      <c r="G108" s="233"/>
      <c r="H108" s="233"/>
      <c r="J108" s="116"/>
      <c r="S108" s="39"/>
      <c r="T108" s="38"/>
    </row>
    <row r="109" spans="2:20" ht="15.75">
      <c r="B109" s="360" t="s">
        <v>98</v>
      </c>
      <c r="C109" s="362">
        <v>120000</v>
      </c>
      <c r="D109" s="364">
        <f t="shared" si="15"/>
        <v>1302978269.798971</v>
      </c>
      <c r="E109" s="365">
        <f t="shared" si="16"/>
        <v>104238261.58391768</v>
      </c>
      <c r="F109" s="233"/>
      <c r="G109" s="233"/>
      <c r="H109" s="233"/>
      <c r="J109" s="116"/>
      <c r="S109" s="39"/>
      <c r="T109" s="38"/>
    </row>
    <row r="110" spans="2:20" ht="16.5" thickBot="1">
      <c r="B110" s="78" t="s">
        <v>216</v>
      </c>
      <c r="C110" s="363">
        <v>100000</v>
      </c>
      <c r="D110" s="368">
        <f t="shared" si="15"/>
        <v>1085815224.8324757</v>
      </c>
      <c r="E110" s="369">
        <f t="shared" si="16"/>
        <v>86865217.98659806</v>
      </c>
      <c r="S110" s="39"/>
      <c r="T110" s="38"/>
    </row>
    <row r="111" spans="4:9" ht="16.5" thickBot="1">
      <c r="D111" s="96"/>
      <c r="F111" s="96"/>
      <c r="G111" s="96"/>
      <c r="I111" s="96"/>
    </row>
    <row r="112" spans="2:9" ht="16.5" thickBot="1">
      <c r="B112" s="216" t="s">
        <v>150</v>
      </c>
      <c r="C112" s="153" t="s">
        <v>154</v>
      </c>
      <c r="D112" s="96"/>
      <c r="F112" s="96"/>
      <c r="G112" s="96"/>
      <c r="I112" s="96"/>
    </row>
    <row r="113" spans="2:9" ht="31.5">
      <c r="B113" s="224" t="s">
        <v>151</v>
      </c>
      <c r="C113" s="321">
        <f>SUM(E105:E110)/2</f>
        <v>734011091.9867536</v>
      </c>
      <c r="D113" s="96"/>
      <c r="F113" s="96"/>
      <c r="G113" s="96"/>
      <c r="I113" s="96"/>
    </row>
    <row r="114" spans="2:9" ht="15.75">
      <c r="B114" s="118" t="s">
        <v>152</v>
      </c>
      <c r="C114" s="321">
        <f>SUM(E76:E83)</f>
        <v>1087780782.1182814</v>
      </c>
      <c r="D114" s="96"/>
      <c r="F114" s="96"/>
      <c r="G114" s="96"/>
      <c r="I114" s="96"/>
    </row>
    <row r="115" spans="2:9" ht="15.75">
      <c r="B115" s="225" t="s">
        <v>6</v>
      </c>
      <c r="C115" s="321">
        <f>SUM(C113:C114)</f>
        <v>1821791874.1050348</v>
      </c>
      <c r="D115" s="96"/>
      <c r="F115" s="96"/>
      <c r="G115" s="96"/>
      <c r="I115" s="96"/>
    </row>
    <row r="116" spans="2:9" ht="15.75">
      <c r="B116" s="118" t="s">
        <v>163</v>
      </c>
      <c r="C116" s="374">
        <v>5500000</v>
      </c>
      <c r="D116" s="96"/>
      <c r="F116" s="96"/>
      <c r="G116" s="96"/>
      <c r="I116" s="96"/>
    </row>
    <row r="117" spans="2:9" ht="15.75">
      <c r="B117" s="118" t="s">
        <v>155</v>
      </c>
      <c r="C117" s="321">
        <f>C115/C116</f>
        <v>331.2348862009154</v>
      </c>
      <c r="D117" s="96"/>
      <c r="F117" s="96"/>
      <c r="G117" s="96"/>
      <c r="I117" s="96"/>
    </row>
    <row r="118" spans="2:9" ht="31.5">
      <c r="B118" s="118" t="s">
        <v>156</v>
      </c>
      <c r="C118" s="226">
        <f>C117/H42</f>
        <v>0.24437023250768075</v>
      </c>
      <c r="D118" s="96"/>
      <c r="F118" s="96"/>
      <c r="G118" s="96"/>
      <c r="I118" s="96"/>
    </row>
    <row r="119" spans="2:9" ht="15.75">
      <c r="B119" s="118" t="s">
        <v>158</v>
      </c>
      <c r="C119" s="321">
        <f>SUM(C117+H42)</f>
        <v>1686.6982043057687</v>
      </c>
      <c r="D119" s="96"/>
      <c r="F119" s="96"/>
      <c r="G119" s="96"/>
      <c r="I119" s="96"/>
    </row>
    <row r="120" spans="2:9" ht="31.5">
      <c r="B120" s="118" t="s">
        <v>159</v>
      </c>
      <c r="C120" s="371">
        <f>D34</f>
        <v>7.185143232372978</v>
      </c>
      <c r="D120" s="96"/>
      <c r="F120" s="96"/>
      <c r="G120" s="96"/>
      <c r="I120" s="96"/>
    </row>
    <row r="121" spans="2:9" ht="15.75">
      <c r="B121" s="118" t="s">
        <v>160</v>
      </c>
      <c r="C121" s="372">
        <f>SUM(C119/C120)/365</f>
        <v>0.6431452820425637</v>
      </c>
      <c r="D121" s="100"/>
      <c r="F121" s="96"/>
      <c r="G121" s="96"/>
      <c r="I121" s="96"/>
    </row>
    <row r="122" spans="2:9" ht="31.5">
      <c r="B122" s="118" t="s">
        <v>162</v>
      </c>
      <c r="C122" s="372">
        <f>SUM(1.25/C1)-C121</f>
        <v>0.6068547179574363</v>
      </c>
      <c r="D122" s="100"/>
      <c r="F122" s="96"/>
      <c r="G122" s="96"/>
      <c r="I122" s="96"/>
    </row>
    <row r="123" spans="2:9" ht="16.5" thickBot="1">
      <c r="B123" s="73" t="s">
        <v>157</v>
      </c>
      <c r="C123" s="373">
        <f>SUM(2/C1)-C121</f>
        <v>1.3568547179574364</v>
      </c>
      <c r="D123" s="96"/>
      <c r="F123" s="96"/>
      <c r="G123" s="96"/>
      <c r="I123" s="96"/>
    </row>
    <row r="124" spans="4:9" ht="16.5" thickBot="1">
      <c r="D124" s="96"/>
      <c r="F124" s="96"/>
      <c r="G124" s="96"/>
      <c r="I124" s="96"/>
    </row>
    <row r="125" spans="2:24" s="113" customFormat="1" ht="16.5" thickBot="1">
      <c r="B125" s="90" t="s">
        <v>144</v>
      </c>
      <c r="C125" s="55" t="s">
        <v>92</v>
      </c>
      <c r="D125" s="178" t="s">
        <v>12</v>
      </c>
      <c r="E125" s="181" t="s">
        <v>142</v>
      </c>
      <c r="F125" s="131" t="s">
        <v>143</v>
      </c>
      <c r="G125" s="177"/>
      <c r="H125" s="139"/>
      <c r="I125" s="129"/>
      <c r="J125" s="164"/>
      <c r="K125" s="164"/>
      <c r="L125" s="189"/>
      <c r="M125" s="129"/>
      <c r="N125" s="162"/>
      <c r="O125" s="41"/>
      <c r="P125" s="41"/>
      <c r="Q125" s="139"/>
      <c r="R125" s="139"/>
      <c r="S125" s="139"/>
      <c r="T125" s="139"/>
      <c r="U125" s="139"/>
      <c r="V125" s="139"/>
      <c r="W125" s="139"/>
      <c r="X125" s="165"/>
    </row>
    <row r="126" spans="2:24" s="113" customFormat="1" ht="15.75">
      <c r="B126" s="111" t="s">
        <v>145</v>
      </c>
      <c r="C126" s="322">
        <f>C102</f>
        <v>10858.152248324757</v>
      </c>
      <c r="D126" s="185">
        <f aca="true" t="shared" si="17" ref="D126:D132">C126/$C$132</f>
        <v>0.5740000000000001</v>
      </c>
      <c r="E126" s="184"/>
      <c r="F126" s="131"/>
      <c r="G126" s="177"/>
      <c r="H126" s="139"/>
      <c r="I126" s="129"/>
      <c r="J126" s="164"/>
      <c r="K126" s="164"/>
      <c r="L126" s="189"/>
      <c r="M126" s="129"/>
      <c r="N126" s="162"/>
      <c r="O126" s="41"/>
      <c r="P126" s="41"/>
      <c r="Q126" s="139"/>
      <c r="R126" s="139"/>
      <c r="S126" s="139"/>
      <c r="T126" s="139"/>
      <c r="U126" s="139"/>
      <c r="V126" s="139"/>
      <c r="W126" s="139"/>
      <c r="X126" s="165"/>
    </row>
    <row r="127" spans="2:24" s="113" customFormat="1" ht="15.75">
      <c r="B127" s="111" t="s">
        <v>113</v>
      </c>
      <c r="C127" s="322">
        <f>E127*$F$132</f>
        <v>1153.9151344038503</v>
      </c>
      <c r="D127" s="185">
        <f t="shared" si="17"/>
        <v>0.061</v>
      </c>
      <c r="E127" s="184">
        <v>0.061</v>
      </c>
      <c r="F127" s="131"/>
      <c r="G127" s="139"/>
      <c r="H127" s="139"/>
      <c r="I127" s="129"/>
      <c r="J127" s="130"/>
      <c r="K127" s="130"/>
      <c r="L127" s="189"/>
      <c r="M127" s="129"/>
      <c r="N127" s="162"/>
      <c r="O127" s="41"/>
      <c r="P127" s="41"/>
      <c r="Q127" s="139"/>
      <c r="R127" s="139"/>
      <c r="S127" s="139"/>
      <c r="T127" s="139"/>
      <c r="U127" s="139"/>
      <c r="V127" s="139"/>
      <c r="W127" s="139"/>
      <c r="X127" s="165"/>
    </row>
    <row r="128" spans="2:24" s="113" customFormat="1" ht="15.75">
      <c r="B128" s="111" t="s">
        <v>114</v>
      </c>
      <c r="C128" s="322">
        <f>E128*$F$132</f>
        <v>189.16641547604104</v>
      </c>
      <c r="D128" s="185">
        <f t="shared" si="17"/>
        <v>0.01</v>
      </c>
      <c r="E128" s="184">
        <v>0.01</v>
      </c>
      <c r="F128" s="131"/>
      <c r="G128" s="139"/>
      <c r="H128" s="139"/>
      <c r="I128" s="129"/>
      <c r="J128" s="130"/>
      <c r="K128" s="130"/>
      <c r="L128" s="189"/>
      <c r="M128" s="129"/>
      <c r="N128" s="162"/>
      <c r="O128" s="41"/>
      <c r="P128" s="41"/>
      <c r="Q128" s="139"/>
      <c r="R128" s="139"/>
      <c r="S128" s="139"/>
      <c r="T128" s="139"/>
      <c r="U128" s="139"/>
      <c r="V128" s="139"/>
      <c r="W128" s="139"/>
      <c r="X128" s="165"/>
    </row>
    <row r="129" spans="2:24" s="113" customFormat="1" ht="15.75">
      <c r="B129" s="111" t="s">
        <v>111</v>
      </c>
      <c r="C129" s="322">
        <f>E129*$F$132</f>
        <v>5012.910010115088</v>
      </c>
      <c r="D129" s="185">
        <f t="shared" si="17"/>
        <v>0.265</v>
      </c>
      <c r="E129" s="184">
        <v>0.265</v>
      </c>
      <c r="F129" s="131"/>
      <c r="G129" s="139"/>
      <c r="H129" s="139"/>
      <c r="I129" s="129"/>
      <c r="J129" s="130"/>
      <c r="K129" s="130"/>
      <c r="L129" s="189"/>
      <c r="M129" s="129"/>
      <c r="N129" s="162"/>
      <c r="O129" s="41"/>
      <c r="P129" s="41"/>
      <c r="Q129" s="139"/>
      <c r="R129" s="139"/>
      <c r="S129" s="139"/>
      <c r="T129" s="139"/>
      <c r="U129" s="139"/>
      <c r="V129" s="139"/>
      <c r="W129" s="139"/>
      <c r="X129" s="165"/>
    </row>
    <row r="130" spans="2:24" s="113" customFormat="1" ht="15.75">
      <c r="B130" s="111" t="s">
        <v>112</v>
      </c>
      <c r="C130" s="322">
        <f>E130*$F$132</f>
        <v>472.9160386901026</v>
      </c>
      <c r="D130" s="185">
        <f t="shared" si="17"/>
        <v>0.025</v>
      </c>
      <c r="E130" s="184">
        <v>0.025</v>
      </c>
      <c r="F130" s="131"/>
      <c r="G130" s="139"/>
      <c r="H130" s="139"/>
      <c r="I130" s="129"/>
      <c r="J130" s="130"/>
      <c r="K130" s="130"/>
      <c r="L130" s="189"/>
      <c r="M130" s="129"/>
      <c r="N130" s="162"/>
      <c r="O130" s="41"/>
      <c r="P130" s="41"/>
      <c r="Q130" s="139"/>
      <c r="R130" s="139"/>
      <c r="S130" s="139"/>
      <c r="T130" s="139"/>
      <c r="U130" s="139"/>
      <c r="V130" s="139"/>
      <c r="W130" s="139"/>
      <c r="X130" s="165"/>
    </row>
    <row r="131" spans="2:24" s="82" customFormat="1" ht="16.5" thickBot="1">
      <c r="B131" s="111" t="s">
        <v>103</v>
      </c>
      <c r="C131" s="322">
        <f>E131*$F$132</f>
        <v>1229.5817005942667</v>
      </c>
      <c r="D131" s="185">
        <f t="shared" si="17"/>
        <v>0.065</v>
      </c>
      <c r="E131" s="184">
        <v>0.065</v>
      </c>
      <c r="F131" s="115"/>
      <c r="G131" s="40"/>
      <c r="H131" s="40"/>
      <c r="I131" s="41"/>
      <c r="J131" s="128"/>
      <c r="K131" s="128"/>
      <c r="L131" s="135"/>
      <c r="M131" s="41"/>
      <c r="N131" s="161"/>
      <c r="O131" s="41"/>
      <c r="P131" s="41"/>
      <c r="Q131" s="144"/>
      <c r="R131" s="40"/>
      <c r="S131" s="40"/>
      <c r="T131" s="40"/>
      <c r="U131" s="40"/>
      <c r="V131" s="40"/>
      <c r="W131" s="40"/>
      <c r="X131" s="163"/>
    </row>
    <row r="132" spans="2:24" s="113" customFormat="1" ht="32.25" thickBot="1">
      <c r="B132" s="112" t="s">
        <v>85</v>
      </c>
      <c r="C132" s="323">
        <f>SUM(C126:C131)</f>
        <v>18916.641547604104</v>
      </c>
      <c r="D132" s="180">
        <f t="shared" si="17"/>
        <v>1</v>
      </c>
      <c r="E132" s="183">
        <f>SUM(E102,E127,E128,E129,E130,E131)</f>
        <v>1</v>
      </c>
      <c r="F132" s="385">
        <f>C95/E95</f>
        <v>18916.641547604104</v>
      </c>
      <c r="G132" s="139"/>
      <c r="H132" s="139"/>
      <c r="I132" s="129"/>
      <c r="J132" s="164"/>
      <c r="K132" s="164"/>
      <c r="L132" s="134"/>
      <c r="M132" s="129"/>
      <c r="N132" s="162"/>
      <c r="O132" s="41"/>
      <c r="P132" s="41"/>
      <c r="Q132" s="139"/>
      <c r="R132" s="139"/>
      <c r="S132" s="139"/>
      <c r="T132" s="139"/>
      <c r="U132" s="139"/>
      <c r="V132" s="139"/>
      <c r="W132" s="139"/>
      <c r="X132" s="165"/>
    </row>
    <row r="133" spans="2:17" s="82" customFormat="1" ht="15.75">
      <c r="B133" s="114"/>
      <c r="Q133" s="81"/>
    </row>
    <row r="134" spans="2:20" ht="24" thickBot="1">
      <c r="B134" s="386" t="s">
        <v>122</v>
      </c>
      <c r="C134" s="386"/>
      <c r="Q134" s="39"/>
      <c r="T134" s="38"/>
    </row>
    <row r="135" spans="2:20" ht="42.75" thickBot="1">
      <c r="B135" s="125" t="s">
        <v>104</v>
      </c>
      <c r="C135" s="126" t="s">
        <v>121</v>
      </c>
      <c r="D135" s="127" t="s">
        <v>12</v>
      </c>
      <c r="E135" s="153" t="s">
        <v>92</v>
      </c>
      <c r="G135" s="145" t="s">
        <v>123</v>
      </c>
      <c r="H135" s="152" t="s">
        <v>100</v>
      </c>
      <c r="I135" s="127" t="s">
        <v>12</v>
      </c>
      <c r="K135" s="145" t="s">
        <v>131</v>
      </c>
      <c r="L135" s="152" t="s">
        <v>137</v>
      </c>
      <c r="M135" s="152" t="s">
        <v>100</v>
      </c>
      <c r="N135" s="127"/>
      <c r="S135" s="39"/>
      <c r="T135" s="38"/>
    </row>
    <row r="136" spans="2:19" s="89" customFormat="1" ht="16.5" thickBot="1">
      <c r="B136" s="122" t="s">
        <v>99</v>
      </c>
      <c r="C136" s="176">
        <f>SUM(C137,C139:C142)</f>
        <v>0.32999999999999996</v>
      </c>
      <c r="D136" s="157">
        <f>C136/$C$155</f>
        <v>0.47826086956521735</v>
      </c>
      <c r="E136" s="169">
        <f aca="true" t="shared" si="18" ref="E136:E154">D136*$E$155</f>
        <v>8811</v>
      </c>
      <c r="G136" s="166" t="s">
        <v>124</v>
      </c>
      <c r="H136" s="148">
        <f aca="true" t="shared" si="19" ref="H136:H143">I136*$H$144</f>
        <v>1050</v>
      </c>
      <c r="I136" s="158">
        <v>0.07</v>
      </c>
      <c r="K136" s="120" t="s">
        <v>132</v>
      </c>
      <c r="L136" s="147">
        <v>14.301908</v>
      </c>
      <c r="M136" s="149">
        <f>L146*0.4</f>
        <v>1408.7080029549372</v>
      </c>
      <c r="N136" s="158">
        <f aca="true" t="shared" si="20" ref="N136:N144">L136/$L$145</f>
        <v>0.1219512195121951</v>
      </c>
      <c r="O136" s="159">
        <f>M136*N136</f>
        <v>171.79365889694355</v>
      </c>
      <c r="Q136" s="146"/>
      <c r="R136" s="147"/>
      <c r="S136" s="26"/>
    </row>
    <row r="137" spans="2:22" ht="31.5">
      <c r="B137" s="84" t="s">
        <v>115</v>
      </c>
      <c r="C137" s="119">
        <v>0.18</v>
      </c>
      <c r="D137" s="158">
        <f>C137/$C$155</f>
        <v>0.2608695652173913</v>
      </c>
      <c r="E137" s="171">
        <f>D137*$E$155</f>
        <v>4806</v>
      </c>
      <c r="G137" s="84" t="s">
        <v>129</v>
      </c>
      <c r="H137" s="149">
        <f t="shared" si="19"/>
        <v>150</v>
      </c>
      <c r="I137" s="158">
        <v>0.01</v>
      </c>
      <c r="J137" s="146"/>
      <c r="K137" s="120" t="s">
        <v>133</v>
      </c>
      <c r="L137" s="147">
        <v>2.451755657142857</v>
      </c>
      <c r="M137" s="149">
        <f aca="true" t="shared" si="21" ref="M137:M144">N137*($O$136*100)</f>
        <v>359.15050640476005</v>
      </c>
      <c r="N137" s="158">
        <f t="shared" si="20"/>
        <v>0.020905923344947733</v>
      </c>
      <c r="R137" s="147"/>
      <c r="T137" s="38"/>
      <c r="V137" s="39"/>
    </row>
    <row r="138" spans="2:22" ht="15.75">
      <c r="B138" s="172" t="s">
        <v>139</v>
      </c>
      <c r="C138" s="173">
        <f>C137*0.4</f>
        <v>0.072</v>
      </c>
      <c r="D138" s="174">
        <f>D137*0.4</f>
        <v>0.10434782608695653</v>
      </c>
      <c r="E138" s="175">
        <f>E137*0.4</f>
        <v>1922.4</v>
      </c>
      <c r="G138" s="84" t="s">
        <v>125</v>
      </c>
      <c r="H138" s="149">
        <f t="shared" si="19"/>
        <v>600</v>
      </c>
      <c r="I138" s="158">
        <v>0.04</v>
      </c>
      <c r="J138" s="146"/>
      <c r="K138" s="120" t="s">
        <v>105</v>
      </c>
      <c r="L138" s="147">
        <v>18.38816742857143</v>
      </c>
      <c r="M138" s="149">
        <f t="shared" si="21"/>
        <v>2693.6287980357</v>
      </c>
      <c r="N138" s="158">
        <f t="shared" si="20"/>
        <v>0.156794425087108</v>
      </c>
      <c r="R138" s="147"/>
      <c r="T138" s="38"/>
      <c r="V138" s="39"/>
    </row>
    <row r="139" spans="2:22" ht="15.75">
      <c r="B139" s="84" t="s">
        <v>120</v>
      </c>
      <c r="C139" s="119">
        <v>0.06</v>
      </c>
      <c r="D139" s="158">
        <f aca="true" t="shared" si="22" ref="D139:D154">C139/$C$155</f>
        <v>0.08695652173913043</v>
      </c>
      <c r="E139" s="171">
        <f t="shared" si="18"/>
        <v>1602</v>
      </c>
      <c r="G139" s="120" t="s">
        <v>126</v>
      </c>
      <c r="H139" s="149">
        <f t="shared" si="19"/>
        <v>900</v>
      </c>
      <c r="I139" s="158">
        <v>0.06</v>
      </c>
      <c r="J139" s="146"/>
      <c r="K139" s="120" t="s">
        <v>134</v>
      </c>
      <c r="L139" s="147">
        <v>21.452862000000003</v>
      </c>
      <c r="M139" s="149">
        <f t="shared" si="21"/>
        <v>3142.566931041651</v>
      </c>
      <c r="N139" s="158">
        <f t="shared" si="20"/>
        <v>0.1829268292682927</v>
      </c>
      <c r="R139" s="147"/>
      <c r="T139" s="38"/>
      <c r="V139" s="39"/>
    </row>
    <row r="140" spans="2:22" ht="15.75">
      <c r="B140" s="120" t="s">
        <v>116</v>
      </c>
      <c r="C140" s="119">
        <v>0.02</v>
      </c>
      <c r="D140" s="158">
        <f t="shared" si="22"/>
        <v>0.028985507246376815</v>
      </c>
      <c r="E140" s="171">
        <f t="shared" si="18"/>
        <v>534.0000000000001</v>
      </c>
      <c r="G140" s="120" t="s">
        <v>127</v>
      </c>
      <c r="H140" s="149">
        <f t="shared" si="19"/>
        <v>2850</v>
      </c>
      <c r="I140" s="158">
        <v>0.19</v>
      </c>
      <c r="K140" s="120" t="s">
        <v>118</v>
      </c>
      <c r="L140" s="147">
        <v>5.414293742857143</v>
      </c>
      <c r="M140" s="149">
        <f t="shared" si="21"/>
        <v>793.1240349771784</v>
      </c>
      <c r="N140" s="158">
        <f t="shared" si="20"/>
        <v>0.04616724738675958</v>
      </c>
      <c r="R140" s="147"/>
      <c r="T140" s="38"/>
      <c r="V140" s="39"/>
    </row>
    <row r="141" spans="2:22" ht="15.75">
      <c r="B141" s="120" t="s">
        <v>118</v>
      </c>
      <c r="C141" s="119">
        <v>0.04</v>
      </c>
      <c r="D141" s="158">
        <f t="shared" si="22"/>
        <v>0.05797101449275363</v>
      </c>
      <c r="E141" s="171">
        <f t="shared" si="18"/>
        <v>1068.0000000000002</v>
      </c>
      <c r="G141" s="120" t="s">
        <v>128</v>
      </c>
      <c r="H141" s="149">
        <f t="shared" si="19"/>
        <v>8400</v>
      </c>
      <c r="I141" s="158">
        <v>0.56</v>
      </c>
      <c r="K141" s="120" t="s">
        <v>82</v>
      </c>
      <c r="L141" s="147">
        <v>7.661736428571428</v>
      </c>
      <c r="M141" s="149">
        <f t="shared" si="21"/>
        <v>1122.345332514875</v>
      </c>
      <c r="N141" s="158">
        <f t="shared" si="20"/>
        <v>0.06533101045296166</v>
      </c>
      <c r="R141" s="147"/>
      <c r="T141" s="38"/>
      <c r="V141" s="39"/>
    </row>
    <row r="142" spans="2:22" ht="16.5" thickBot="1">
      <c r="B142" s="120" t="s">
        <v>11</v>
      </c>
      <c r="C142" s="119">
        <v>0.03</v>
      </c>
      <c r="D142" s="158">
        <f t="shared" si="22"/>
        <v>0.043478260869565216</v>
      </c>
      <c r="E142" s="171">
        <f t="shared" si="18"/>
        <v>801</v>
      </c>
      <c r="G142" s="120" t="s">
        <v>106</v>
      </c>
      <c r="H142" s="149">
        <f t="shared" si="19"/>
        <v>150</v>
      </c>
      <c r="I142" s="158">
        <v>0.01</v>
      </c>
      <c r="K142" s="120" t="s">
        <v>83</v>
      </c>
      <c r="L142" s="147">
        <v>7.661736428571428</v>
      </c>
      <c r="M142" s="149">
        <f t="shared" si="21"/>
        <v>1122.345332514875</v>
      </c>
      <c r="N142" s="158">
        <f t="shared" si="20"/>
        <v>0.06533101045296166</v>
      </c>
      <c r="R142" s="147"/>
      <c r="T142" s="38"/>
      <c r="V142" s="39"/>
    </row>
    <row r="143" spans="2:22" s="89" customFormat="1" ht="16.5" thickBot="1">
      <c r="B143" s="122" t="s">
        <v>102</v>
      </c>
      <c r="C143" s="123">
        <f>SUM(C144:C145)</f>
        <v>0.06</v>
      </c>
      <c r="D143" s="157">
        <f t="shared" si="22"/>
        <v>0.08695652173913043</v>
      </c>
      <c r="E143" s="169">
        <f t="shared" si="18"/>
        <v>1602</v>
      </c>
      <c r="G143" s="121" t="s">
        <v>103</v>
      </c>
      <c r="H143" s="150">
        <f t="shared" si="19"/>
        <v>900</v>
      </c>
      <c r="I143" s="158">
        <v>0.06</v>
      </c>
      <c r="K143" s="120" t="s">
        <v>135</v>
      </c>
      <c r="L143" s="147">
        <v>86.83301285714286</v>
      </c>
      <c r="M143" s="149">
        <f t="shared" si="21"/>
        <v>12719.91376850192</v>
      </c>
      <c r="N143" s="158">
        <f t="shared" si="20"/>
        <v>0.740418118466899</v>
      </c>
      <c r="R143" s="147"/>
      <c r="V143" s="26"/>
    </row>
    <row r="144" spans="2:22" ht="16.5" thickBot="1">
      <c r="B144" s="120" t="s">
        <v>106</v>
      </c>
      <c r="C144" s="119">
        <v>0.02</v>
      </c>
      <c r="D144" s="158">
        <f t="shared" si="22"/>
        <v>0.028985507246376815</v>
      </c>
      <c r="E144" s="171">
        <f t="shared" si="18"/>
        <v>534.0000000000001</v>
      </c>
      <c r="G144" s="153" t="s">
        <v>6</v>
      </c>
      <c r="H144" s="151">
        <v>15000</v>
      </c>
      <c r="I144" s="156">
        <f>SUM(I136:I143)</f>
        <v>1</v>
      </c>
      <c r="K144" s="120" t="s">
        <v>136</v>
      </c>
      <c r="L144" s="147">
        <v>30.44263274285714</v>
      </c>
      <c r="M144" s="149">
        <f t="shared" si="21"/>
        <v>4459.452121192437</v>
      </c>
      <c r="N144" s="158">
        <f t="shared" si="20"/>
        <v>0.259581881533101</v>
      </c>
      <c r="R144" s="147"/>
      <c r="T144" s="38"/>
      <c r="V144" s="39"/>
    </row>
    <row r="145" spans="2:22" ht="16.5" thickBot="1">
      <c r="B145" s="120" t="s">
        <v>108</v>
      </c>
      <c r="C145" s="119">
        <v>0.04</v>
      </c>
      <c r="D145" s="158">
        <f t="shared" si="22"/>
        <v>0.05797101449275363</v>
      </c>
      <c r="E145" s="171">
        <f t="shared" si="18"/>
        <v>1068.0000000000002</v>
      </c>
      <c r="G145" s="89" t="s">
        <v>130</v>
      </c>
      <c r="H145" s="154">
        <f>H136/0.32</f>
        <v>3281.25</v>
      </c>
      <c r="I145" s="89"/>
      <c r="K145" s="153" t="s">
        <v>6</v>
      </c>
      <c r="L145" s="151">
        <f>SUM(L143:L144)</f>
        <v>117.2756456</v>
      </c>
      <c r="M145" s="151">
        <f>SUM(M143:M144)</f>
        <v>17179.365889694356</v>
      </c>
      <c r="N145" s="156"/>
      <c r="R145" s="147"/>
      <c r="T145" s="38"/>
      <c r="V145" s="39"/>
    </row>
    <row r="146" spans="2:22" s="89" customFormat="1" ht="16.5" thickBot="1">
      <c r="B146" s="122" t="s">
        <v>14</v>
      </c>
      <c r="C146" s="123">
        <f>SUM(C147:C148)</f>
        <v>0.03</v>
      </c>
      <c r="D146" s="157">
        <f t="shared" si="22"/>
        <v>0.043478260869565216</v>
      </c>
      <c r="E146" s="169">
        <f t="shared" si="18"/>
        <v>801</v>
      </c>
      <c r="K146" s="89" t="s">
        <v>130</v>
      </c>
      <c r="L146" s="154">
        <f>(L136/C20)*1000000</f>
        <v>3521.770007387343</v>
      </c>
      <c r="M146" s="154"/>
      <c r="N146" s="110"/>
      <c r="V146" s="26"/>
    </row>
    <row r="147" spans="2:22" ht="15.75">
      <c r="B147" s="84" t="s">
        <v>11</v>
      </c>
      <c r="C147" s="119">
        <v>0.01</v>
      </c>
      <c r="D147" s="158">
        <f t="shared" si="22"/>
        <v>0.014492753623188408</v>
      </c>
      <c r="E147" s="171">
        <f t="shared" si="18"/>
        <v>267.00000000000006</v>
      </c>
      <c r="G147" s="141"/>
      <c r="H147" s="137"/>
      <c r="I147" s="138"/>
      <c r="T147" s="38"/>
      <c r="V147" s="39"/>
    </row>
    <row r="148" spans="2:21" ht="16.5" thickBot="1">
      <c r="B148" s="84" t="s">
        <v>116</v>
      </c>
      <c r="C148" s="119">
        <v>0.02</v>
      </c>
      <c r="D148" s="158">
        <f t="shared" si="22"/>
        <v>0.028985507246376815</v>
      </c>
      <c r="E148" s="171">
        <f t="shared" si="18"/>
        <v>534.0000000000001</v>
      </c>
      <c r="G148" s="141"/>
      <c r="H148" s="137"/>
      <c r="I148" s="138"/>
      <c r="M148" s="110"/>
      <c r="T148" s="38"/>
      <c r="U148" s="39"/>
    </row>
    <row r="149" spans="2:21" s="89" customFormat="1" ht="16.5" thickBot="1">
      <c r="B149" s="124" t="s">
        <v>117</v>
      </c>
      <c r="C149" s="123">
        <f>SUM(C150:C153)</f>
        <v>0.22000000000000003</v>
      </c>
      <c r="D149" s="157">
        <f t="shared" si="22"/>
        <v>0.318840579710145</v>
      </c>
      <c r="E149" s="169">
        <f t="shared" si="18"/>
        <v>5874.000000000002</v>
      </c>
      <c r="G149" s="142"/>
      <c r="H149" s="140"/>
      <c r="I149" s="133"/>
      <c r="M149" s="117"/>
      <c r="U149" s="26"/>
    </row>
    <row r="150" spans="2:21" ht="15.75">
      <c r="B150" s="120" t="s">
        <v>109</v>
      </c>
      <c r="C150" s="119">
        <v>0.05</v>
      </c>
      <c r="D150" s="158">
        <f t="shared" si="22"/>
        <v>0.07246376811594205</v>
      </c>
      <c r="E150" s="171">
        <f t="shared" si="18"/>
        <v>1335.0000000000002</v>
      </c>
      <c r="G150" s="155"/>
      <c r="H150" s="137"/>
      <c r="I150" s="138"/>
      <c r="M150" s="110"/>
      <c r="T150" s="38"/>
      <c r="U150" s="39"/>
    </row>
    <row r="151" spans="2:21" ht="15.75">
      <c r="B151" s="120" t="s">
        <v>110</v>
      </c>
      <c r="C151" s="119">
        <v>0.08</v>
      </c>
      <c r="D151" s="158">
        <f t="shared" si="22"/>
        <v>0.11594202898550726</v>
      </c>
      <c r="E151" s="171">
        <f t="shared" si="18"/>
        <v>2136.0000000000005</v>
      </c>
      <c r="G151" s="155"/>
      <c r="H151" s="137"/>
      <c r="I151" s="138"/>
      <c r="M151" s="110"/>
      <c r="T151" s="38"/>
      <c r="U151" s="39"/>
    </row>
    <row r="152" spans="2:21" ht="15.75">
      <c r="B152" s="120" t="s">
        <v>119</v>
      </c>
      <c r="C152" s="119">
        <v>0.08</v>
      </c>
      <c r="D152" s="158">
        <f t="shared" si="22"/>
        <v>0.11594202898550726</v>
      </c>
      <c r="E152" s="171">
        <f t="shared" si="18"/>
        <v>2136.0000000000005</v>
      </c>
      <c r="G152" s="40"/>
      <c r="H152" s="167"/>
      <c r="I152" s="138"/>
      <c r="M152" s="110"/>
      <c r="T152" s="38"/>
      <c r="U152" s="39"/>
    </row>
    <row r="153" spans="2:21" ht="15.75" thickBot="1">
      <c r="B153" s="120" t="s">
        <v>107</v>
      </c>
      <c r="C153" s="119">
        <v>0.01</v>
      </c>
      <c r="D153" s="158">
        <f t="shared" si="22"/>
        <v>0.014492753623188408</v>
      </c>
      <c r="E153" s="171">
        <f t="shared" si="18"/>
        <v>267.00000000000006</v>
      </c>
      <c r="G153" s="40"/>
      <c r="H153" s="168"/>
      <c r="I153" s="138"/>
      <c r="M153" s="110"/>
      <c r="T153" s="38"/>
      <c r="U153" s="39"/>
    </row>
    <row r="154" spans="2:21" s="89" customFormat="1" ht="15.75" thickBot="1">
      <c r="B154" s="124" t="s">
        <v>103</v>
      </c>
      <c r="C154" s="123">
        <v>0.05</v>
      </c>
      <c r="D154" s="157">
        <f t="shared" si="22"/>
        <v>0.07246376811594205</v>
      </c>
      <c r="E154" s="169">
        <f t="shared" si="18"/>
        <v>1335.0000000000002</v>
      </c>
      <c r="G154" s="139"/>
      <c r="H154" s="139"/>
      <c r="I154" s="139"/>
      <c r="M154" s="117"/>
      <c r="U154" s="26"/>
    </row>
    <row r="155" spans="3:21" ht="21" thickBot="1">
      <c r="C155" s="136">
        <f>C136+C143+C146+C154+C149</f>
        <v>0.69</v>
      </c>
      <c r="D155" s="156">
        <f>D136+D143+D146+D149+D154</f>
        <v>1</v>
      </c>
      <c r="E155" s="170">
        <f>C155*26700</f>
        <v>18423</v>
      </c>
      <c r="G155" s="141"/>
      <c r="H155" s="143"/>
      <c r="I155" s="144"/>
      <c r="M155" s="110"/>
      <c r="T155" s="38"/>
      <c r="U155" s="39"/>
    </row>
    <row r="156" ht="15">
      <c r="L156" s="110"/>
    </row>
    <row r="158" spans="4:5" ht="15">
      <c r="D158" s="234"/>
      <c r="E158" s="234"/>
    </row>
  </sheetData>
  <sheetProtection/>
  <mergeCells count="1">
    <mergeCell ref="B134:C134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S73"/>
  <sheetViews>
    <sheetView tabSelected="1" zoomScale="125" zoomScaleNormal="125" workbookViewId="0" topLeftCell="I1">
      <selection activeCell="S4" sqref="S4"/>
    </sheetView>
  </sheetViews>
  <sheetFormatPr defaultColWidth="11.00390625" defaultRowHeight="15.75"/>
  <cols>
    <col min="1" max="1" width="4.875" style="236" customWidth="1"/>
    <col min="2" max="2" width="28.50390625" style="236" bestFit="1" customWidth="1"/>
    <col min="3" max="16" width="11.625" style="237" customWidth="1"/>
    <col min="17" max="17" width="9.875" style="236" customWidth="1"/>
    <col min="18" max="19" width="14.875" style="236" bestFit="1" customWidth="1"/>
    <col min="20" max="16384" width="10.875" style="236" customWidth="1"/>
  </cols>
  <sheetData>
    <row r="1" ht="15.75"/>
    <row r="2" spans="2:16" s="240" customFormat="1" ht="63">
      <c r="B2" s="261" t="s">
        <v>174</v>
      </c>
      <c r="C2" s="239" t="s">
        <v>5</v>
      </c>
      <c r="D2" s="242" t="s">
        <v>71</v>
      </c>
      <c r="E2" s="242" t="s">
        <v>30</v>
      </c>
      <c r="F2" s="242" t="s">
        <v>31</v>
      </c>
      <c r="G2" s="241" t="s">
        <v>48</v>
      </c>
      <c r="H2" s="241" t="s">
        <v>173</v>
      </c>
      <c r="I2" s="241" t="s">
        <v>172</v>
      </c>
      <c r="J2" s="260" t="s">
        <v>171</v>
      </c>
      <c r="K2" s="242" t="s">
        <v>170</v>
      </c>
      <c r="L2" s="242" t="s">
        <v>176</v>
      </c>
      <c r="M2" s="242" t="s">
        <v>76</v>
      </c>
      <c r="N2" s="242" t="s">
        <v>18</v>
      </c>
      <c r="O2" s="242" t="s">
        <v>177</v>
      </c>
      <c r="P2" s="259"/>
    </row>
    <row r="3" spans="2:19" ht="15.75">
      <c r="B3" s="236" t="s">
        <v>0</v>
      </c>
      <c r="C3" s="238">
        <f>C23</f>
        <v>0.9</v>
      </c>
      <c r="D3" s="258">
        <f>C19</f>
        <v>10</v>
      </c>
      <c r="E3" s="257">
        <f>C11</f>
        <v>485.8</v>
      </c>
      <c r="F3" s="256">
        <f>C7</f>
        <v>3.4999999999999996</v>
      </c>
      <c r="G3" s="255">
        <f>F3*E3</f>
        <v>1700.2999999999997</v>
      </c>
      <c r="H3" s="253">
        <v>1487</v>
      </c>
      <c r="I3" s="253">
        <f>H3*G3/1000</f>
        <v>2528.3460999999998</v>
      </c>
      <c r="J3" s="253">
        <f>C15</f>
        <v>513</v>
      </c>
      <c r="K3" s="253">
        <f>G3*J3/1000</f>
        <v>872.2538999999999</v>
      </c>
      <c r="L3" s="253">
        <f>I3-K3</f>
        <v>1656.0921999999998</v>
      </c>
      <c r="M3" s="254">
        <f>(L3/D3)/365</f>
        <v>0.4537238904109589</v>
      </c>
      <c r="N3" s="253">
        <f>L3/C3</f>
        <v>1840.1024444444442</v>
      </c>
      <c r="O3" s="252">
        <f>(N3/D3)/365</f>
        <v>0.5041376560121765</v>
      </c>
      <c r="P3" s="251"/>
      <c r="Q3" s="236">
        <v>800000</v>
      </c>
      <c r="R3" s="387">
        <f>Q3*N3</f>
        <v>1472081955.5555553</v>
      </c>
      <c r="S3" s="387">
        <f>R3/0.4</f>
        <v>3680204888.8888884</v>
      </c>
    </row>
    <row r="4" spans="2:19" ht="15.75">
      <c r="B4" s="236" t="s">
        <v>1</v>
      </c>
      <c r="C4" s="238">
        <f>C24</f>
        <v>0.78</v>
      </c>
      <c r="D4" s="258">
        <f>C20</f>
        <v>5.866666666666667</v>
      </c>
      <c r="E4" s="257">
        <f>C12</f>
        <v>419.8333333333333</v>
      </c>
      <c r="F4" s="256">
        <f>C8</f>
        <v>2.642857142857143</v>
      </c>
      <c r="G4" s="255">
        <f>F4*E4</f>
        <v>1109.5595238095236</v>
      </c>
      <c r="H4" s="253">
        <v>1630</v>
      </c>
      <c r="I4" s="253">
        <f>H4*G4/1000</f>
        <v>1808.5820238095237</v>
      </c>
      <c r="J4" s="253">
        <f>C16</f>
        <v>360</v>
      </c>
      <c r="K4" s="253">
        <f>G4*J4/1000</f>
        <v>399.4414285714285</v>
      </c>
      <c r="L4" s="253">
        <f>I4-K4</f>
        <v>1409.140595238095</v>
      </c>
      <c r="M4" s="254">
        <f>(L4/D4)/365</f>
        <v>0.6580669031311154</v>
      </c>
      <c r="N4" s="253">
        <f>L4/C4</f>
        <v>1806.5905067155065</v>
      </c>
      <c r="O4" s="252">
        <f>(N4/D4)/365</f>
        <v>0.8436755168347633</v>
      </c>
      <c r="P4" s="251"/>
      <c r="Q4" s="236">
        <v>500000</v>
      </c>
      <c r="R4" s="387">
        <f>Q4*N4</f>
        <v>903295253.3577533</v>
      </c>
      <c r="S4" s="387">
        <f>R4/0.67</f>
        <v>1348201870.6832137</v>
      </c>
    </row>
    <row r="5" spans="3:10" ht="15.75">
      <c r="C5" s="244"/>
      <c r="D5" s="244"/>
      <c r="E5" s="238"/>
      <c r="F5" s="244"/>
      <c r="J5" s="244"/>
    </row>
    <row r="6" spans="2:16" s="240" customFormat="1" ht="46.5">
      <c r="B6" s="250" t="s">
        <v>169</v>
      </c>
      <c r="C6" s="242" t="s">
        <v>74</v>
      </c>
      <c r="D6" s="334">
        <v>9</v>
      </c>
      <c r="E6" s="338" t="s">
        <v>209</v>
      </c>
      <c r="F6" s="335">
        <v>15</v>
      </c>
      <c r="G6" s="335">
        <v>6</v>
      </c>
      <c r="H6" s="335">
        <v>3</v>
      </c>
      <c r="I6" s="337" t="s">
        <v>210</v>
      </c>
      <c r="J6" s="335">
        <v>16</v>
      </c>
      <c r="K6" s="335">
        <v>8</v>
      </c>
      <c r="L6" s="336">
        <v>11</v>
      </c>
      <c r="M6" s="335">
        <v>1</v>
      </c>
      <c r="N6" s="241"/>
      <c r="O6" s="241"/>
      <c r="P6" s="241"/>
    </row>
    <row r="7" spans="2:12" ht="15.75">
      <c r="B7" s="236" t="s">
        <v>0</v>
      </c>
      <c r="C7" s="246">
        <f>AVERAGE(D7:L7)</f>
        <v>3.4999999999999996</v>
      </c>
      <c r="D7" s="245">
        <v>4.1</v>
      </c>
      <c r="E7" s="245">
        <v>2</v>
      </c>
      <c r="F7" s="245">
        <v>3.8</v>
      </c>
      <c r="G7" s="245">
        <v>2.4</v>
      </c>
      <c r="H7" s="245">
        <v>3</v>
      </c>
      <c r="I7" s="245">
        <v>5.5</v>
      </c>
      <c r="J7" s="245"/>
      <c r="K7" s="245">
        <v>3.7</v>
      </c>
      <c r="L7" s="249"/>
    </row>
    <row r="8" spans="2:13" ht="15.75">
      <c r="B8" s="236" t="s">
        <v>1</v>
      </c>
      <c r="C8" s="246">
        <f>AVERAGE(D8:P8)</f>
        <v>2.642857142857143</v>
      </c>
      <c r="D8" s="245">
        <v>2.3</v>
      </c>
      <c r="E8" s="245">
        <v>2.4</v>
      </c>
      <c r="F8" s="245"/>
      <c r="G8" s="245"/>
      <c r="H8" s="245"/>
      <c r="I8" s="245">
        <v>2.4</v>
      </c>
      <c r="J8" s="245">
        <v>3.7</v>
      </c>
      <c r="K8" s="245">
        <v>2.9</v>
      </c>
      <c r="L8" s="249">
        <v>1.5</v>
      </c>
      <c r="M8" s="237">
        <v>3.3</v>
      </c>
    </row>
    <row r="9" spans="3:6" ht="15.75">
      <c r="C9" s="244"/>
      <c r="D9" s="244"/>
      <c r="E9" s="238"/>
      <c r="F9" s="244"/>
    </row>
    <row r="10" spans="2:16" s="240" customFormat="1" ht="47.25">
      <c r="B10" s="243" t="s">
        <v>168</v>
      </c>
      <c r="C10" s="242" t="s">
        <v>74</v>
      </c>
      <c r="D10" s="335">
        <v>7</v>
      </c>
      <c r="E10" s="335">
        <v>15</v>
      </c>
      <c r="F10" s="335">
        <v>13</v>
      </c>
      <c r="G10" s="335">
        <v>3</v>
      </c>
      <c r="H10" s="335">
        <v>8</v>
      </c>
      <c r="I10" s="336">
        <v>2</v>
      </c>
      <c r="J10" s="335" t="s">
        <v>207</v>
      </c>
      <c r="K10" s="335" t="s">
        <v>208</v>
      </c>
      <c r="L10" s="241"/>
      <c r="M10" s="241"/>
      <c r="N10" s="241"/>
      <c r="O10" s="241"/>
      <c r="P10" s="241"/>
    </row>
    <row r="11" spans="2:9" ht="15.75">
      <c r="B11" s="236" t="s">
        <v>0</v>
      </c>
      <c r="C11" s="246">
        <f>AVERAGE(D11:I11)</f>
        <v>485.8</v>
      </c>
      <c r="D11" s="245">
        <v>560</v>
      </c>
      <c r="E11" s="245">
        <v>454</v>
      </c>
      <c r="F11" s="245"/>
      <c r="G11" s="245">
        <v>450</v>
      </c>
      <c r="H11" s="245">
        <v>565</v>
      </c>
      <c r="I11" s="249">
        <v>400</v>
      </c>
    </row>
    <row r="12" spans="2:11" ht="15.75">
      <c r="B12" s="236" t="s">
        <v>1</v>
      </c>
      <c r="C12" s="246">
        <f>AVERAGE(D12:L12)</f>
        <v>419.8333333333333</v>
      </c>
      <c r="D12" s="245">
        <v>559</v>
      </c>
      <c r="E12" s="245"/>
      <c r="F12" s="245">
        <v>450</v>
      </c>
      <c r="G12" s="245"/>
      <c r="H12" s="245">
        <v>409</v>
      </c>
      <c r="I12" s="249">
        <v>450</v>
      </c>
      <c r="J12" s="237">
        <v>400</v>
      </c>
      <c r="K12" s="237">
        <v>251</v>
      </c>
    </row>
    <row r="13" spans="3:6" ht="15.75">
      <c r="C13" s="244"/>
      <c r="D13" s="244"/>
      <c r="E13" s="238"/>
      <c r="F13" s="244"/>
    </row>
    <row r="14" spans="2:16" s="240" customFormat="1" ht="23.25">
      <c r="B14" s="243" t="s">
        <v>167</v>
      </c>
      <c r="C14" s="242" t="s">
        <v>74</v>
      </c>
      <c r="D14" s="335">
        <v>10</v>
      </c>
      <c r="E14" s="335">
        <v>10</v>
      </c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</row>
    <row r="15" spans="2:13" ht="15.75">
      <c r="B15" s="236" t="s">
        <v>0</v>
      </c>
      <c r="C15" s="248">
        <f>D15</f>
        <v>513</v>
      </c>
      <c r="D15" s="247">
        <v>513</v>
      </c>
      <c r="E15" s="247"/>
      <c r="M15" s="237" t="e">
        <f>AVERAGE(K15:L15)</f>
        <v>#DIV/0!</v>
      </c>
    </row>
    <row r="16" spans="2:13" ht="15.75">
      <c r="B16" s="236" t="s">
        <v>1</v>
      </c>
      <c r="C16" s="248">
        <f>D16</f>
        <v>360</v>
      </c>
      <c r="D16" s="247">
        <v>360</v>
      </c>
      <c r="E16" s="247"/>
      <c r="M16" s="237" t="e">
        <f>AVERAGE(K16:L16)</f>
        <v>#DIV/0!</v>
      </c>
    </row>
    <row r="17" spans="3:6" ht="15.75">
      <c r="C17" s="244"/>
      <c r="D17" s="244"/>
      <c r="E17" s="238"/>
      <c r="F17" s="244"/>
    </row>
    <row r="18" spans="2:16" s="240" customFormat="1" ht="23.25">
      <c r="B18" s="243" t="s">
        <v>166</v>
      </c>
      <c r="C18" s="242" t="s">
        <v>74</v>
      </c>
      <c r="D18" s="334">
        <v>10</v>
      </c>
      <c r="E18" s="335">
        <v>12</v>
      </c>
      <c r="F18" s="335">
        <v>15</v>
      </c>
      <c r="G18" s="335">
        <v>11</v>
      </c>
      <c r="H18" s="334">
        <v>1</v>
      </c>
      <c r="I18" s="241"/>
      <c r="J18" s="241"/>
      <c r="K18" s="241"/>
      <c r="L18" s="241"/>
      <c r="M18" s="241"/>
      <c r="N18" s="241"/>
      <c r="O18" s="241"/>
      <c r="P18" s="241"/>
    </row>
    <row r="19" spans="2:7" ht="15.75">
      <c r="B19" s="236" t="s">
        <v>0</v>
      </c>
      <c r="C19" s="246">
        <f>AVERAGE(D19:J19)</f>
        <v>10</v>
      </c>
      <c r="D19" s="245">
        <v>11</v>
      </c>
      <c r="E19" s="245">
        <v>10</v>
      </c>
      <c r="F19" s="245">
        <v>9</v>
      </c>
      <c r="G19" s="245"/>
    </row>
    <row r="20" spans="2:8" ht="15">
      <c r="B20" s="236" t="s">
        <v>1</v>
      </c>
      <c r="C20" s="246">
        <f>AVERAGE(D20:N20)</f>
        <v>5.866666666666667</v>
      </c>
      <c r="D20" s="245">
        <v>7</v>
      </c>
      <c r="E20" s="245"/>
      <c r="F20" s="245"/>
      <c r="G20" s="245">
        <v>5</v>
      </c>
      <c r="H20" s="237">
        <v>5.6</v>
      </c>
    </row>
    <row r="21" spans="3:6" ht="15">
      <c r="C21" s="244"/>
      <c r="D21" s="244"/>
      <c r="E21" s="238"/>
      <c r="F21" s="244"/>
    </row>
    <row r="22" spans="2:16" s="240" customFormat="1" ht="22.5">
      <c r="B22" s="243" t="s">
        <v>165</v>
      </c>
      <c r="C22" s="242" t="s">
        <v>74</v>
      </c>
      <c r="D22" s="334">
        <v>16</v>
      </c>
      <c r="E22" s="335">
        <v>12</v>
      </c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</row>
    <row r="23" spans="2:5" ht="15">
      <c r="B23" s="236" t="s">
        <v>0</v>
      </c>
      <c r="C23" s="239">
        <f>AVERAGE(D23:J23)</f>
        <v>0.9</v>
      </c>
      <c r="D23" s="238">
        <v>0.9</v>
      </c>
      <c r="E23" s="238"/>
    </row>
    <row r="24" spans="2:5" ht="15">
      <c r="B24" s="236" t="s">
        <v>1</v>
      </c>
      <c r="C24" s="239">
        <f>AVERAGE(D24:J24)</f>
        <v>0.78</v>
      </c>
      <c r="D24" s="238">
        <v>0.8</v>
      </c>
      <c r="E24" s="238">
        <v>0.76</v>
      </c>
    </row>
    <row r="28" ht="15">
      <c r="B28" s="332" t="s">
        <v>178</v>
      </c>
    </row>
    <row r="29" ht="15">
      <c r="B29" s="332"/>
    </row>
    <row r="30" spans="1:2" ht="15">
      <c r="A30" s="236">
        <v>1</v>
      </c>
      <c r="B30" s="332" t="s">
        <v>188</v>
      </c>
    </row>
    <row r="31" ht="15">
      <c r="B31" s="333" t="s">
        <v>189</v>
      </c>
    </row>
    <row r="32" ht="15">
      <c r="B32" s="332"/>
    </row>
    <row r="33" spans="1:2" ht="15">
      <c r="A33" s="236">
        <v>2</v>
      </c>
      <c r="B33" s="332" t="s">
        <v>190</v>
      </c>
    </row>
    <row r="34" ht="15">
      <c r="B34" s="333" t="s">
        <v>191</v>
      </c>
    </row>
    <row r="35" ht="15">
      <c r="B35" s="332"/>
    </row>
    <row r="36" spans="1:2" ht="15">
      <c r="A36" s="236">
        <v>3</v>
      </c>
      <c r="B36" s="332" t="s">
        <v>192</v>
      </c>
    </row>
    <row r="37" ht="15">
      <c r="B37" s="333" t="s">
        <v>193</v>
      </c>
    </row>
    <row r="38" ht="15">
      <c r="B38" s="332"/>
    </row>
    <row r="39" spans="1:2" ht="15">
      <c r="A39" s="236">
        <v>4</v>
      </c>
      <c r="B39" s="332" t="s">
        <v>194</v>
      </c>
    </row>
    <row r="40" ht="15">
      <c r="B40" s="333" t="s">
        <v>195</v>
      </c>
    </row>
    <row r="41" ht="15">
      <c r="B41" s="332"/>
    </row>
    <row r="42" spans="1:2" ht="15">
      <c r="A42" s="236">
        <v>5</v>
      </c>
      <c r="B42" s="332" t="s">
        <v>196</v>
      </c>
    </row>
    <row r="43" ht="15">
      <c r="B43" s="333" t="s">
        <v>197</v>
      </c>
    </row>
    <row r="44" ht="15">
      <c r="B44" s="332"/>
    </row>
    <row r="45" spans="1:2" ht="15">
      <c r="A45" s="236">
        <v>6</v>
      </c>
      <c r="B45" s="332" t="s">
        <v>198</v>
      </c>
    </row>
    <row r="46" ht="15">
      <c r="B46" s="333" t="s">
        <v>199</v>
      </c>
    </row>
    <row r="47" ht="15">
      <c r="B47" s="332"/>
    </row>
    <row r="48" spans="1:2" ht="15">
      <c r="A48" s="236">
        <v>7</v>
      </c>
      <c r="B48" s="332" t="s">
        <v>179</v>
      </c>
    </row>
    <row r="49" ht="15">
      <c r="B49" s="333" t="s">
        <v>180</v>
      </c>
    </row>
    <row r="50" ht="15">
      <c r="B50" s="332"/>
    </row>
    <row r="51" spans="1:2" ht="15">
      <c r="A51" s="236">
        <v>8</v>
      </c>
      <c r="B51" s="332" t="s">
        <v>181</v>
      </c>
    </row>
    <row r="52" ht="15">
      <c r="B52" s="333" t="s">
        <v>182</v>
      </c>
    </row>
    <row r="53" ht="15">
      <c r="B53" s="332"/>
    </row>
    <row r="54" spans="1:2" ht="15">
      <c r="A54" s="236">
        <v>9</v>
      </c>
      <c r="B54" s="332" t="s">
        <v>200</v>
      </c>
    </row>
    <row r="55" ht="15">
      <c r="B55" s="333" t="s">
        <v>201</v>
      </c>
    </row>
    <row r="56" ht="15">
      <c r="B56" s="332"/>
    </row>
    <row r="57" spans="1:2" ht="15">
      <c r="A57" s="236">
        <v>10</v>
      </c>
      <c r="B57" s="332" t="s">
        <v>183</v>
      </c>
    </row>
    <row r="58" ht="15">
      <c r="B58" s="332"/>
    </row>
    <row r="59" spans="1:2" ht="15">
      <c r="A59" s="236">
        <v>11</v>
      </c>
      <c r="B59" s="332" t="s">
        <v>202</v>
      </c>
    </row>
    <row r="60" ht="15">
      <c r="B60" s="333" t="s">
        <v>203</v>
      </c>
    </row>
    <row r="61" ht="15">
      <c r="B61" s="332"/>
    </row>
    <row r="62" spans="1:2" ht="15">
      <c r="A62" s="236">
        <v>12</v>
      </c>
      <c r="B62" s="332" t="s">
        <v>204</v>
      </c>
    </row>
    <row r="63" ht="15">
      <c r="B63" s="333" t="s">
        <v>184</v>
      </c>
    </row>
    <row r="64" ht="15">
      <c r="B64" s="332"/>
    </row>
    <row r="65" spans="1:2" ht="15">
      <c r="A65" s="236">
        <v>12</v>
      </c>
      <c r="B65" s="332" t="s">
        <v>185</v>
      </c>
    </row>
    <row r="66" ht="15">
      <c r="B66" s="332"/>
    </row>
    <row r="67" spans="1:2" ht="15">
      <c r="A67" s="236">
        <v>14</v>
      </c>
      <c r="B67" s="332" t="s">
        <v>205</v>
      </c>
    </row>
    <row r="68" ht="15">
      <c r="B68" s="333" t="s">
        <v>206</v>
      </c>
    </row>
    <row r="69" ht="15">
      <c r="B69" s="332"/>
    </row>
    <row r="70" spans="1:2" ht="15">
      <c r="A70" s="236">
        <v>15</v>
      </c>
      <c r="B70" s="332" t="s">
        <v>186</v>
      </c>
    </row>
    <row r="71" ht="15">
      <c r="B71" s="332"/>
    </row>
    <row r="72" spans="1:2" ht="15">
      <c r="A72" s="236">
        <v>16</v>
      </c>
      <c r="B72" s="332" t="s">
        <v>187</v>
      </c>
    </row>
    <row r="73" ht="15">
      <c r="B73" s="332"/>
    </row>
  </sheetData>
  <sheetProtection/>
  <hyperlinks>
    <hyperlink ref="B31" r:id="rId1" display="http://www.ifama.org/files/conf/papers/1069.pdf"/>
    <hyperlink ref="B34" r:id="rId2" display="http://www.ecobank.com/upload/20141103102555632920ARNtHccJU9.pdf"/>
    <hyperlink ref="B37" r:id="rId3" display="http://www.nhomatogdrikke.no/getfile.php/Sjokolade/Final Baseline Report.pdf"/>
    <hyperlink ref="B40" r:id="rId4" display="http://admin.csrwire.com/system/report_pdfs/530/original/1234276216_Verification_Report_Ghana.pdf"/>
    <hyperlink ref="B43" r:id="rId5" display="http://admin.csrwire.com/system/report_pdfs/531/original/1234276386_Verification_Report_CDI.pdf"/>
    <hyperlink ref="B46" r:id="rId6" display="http://www.fairlabor.org/sites/default/files/documents/reports/cocoa-report-final_0.pdf"/>
    <hyperlink ref="B49" r:id="rId7" display="https://commerce.us.reuters.com/purchase/showReportDetail.do?docid=66831015"/>
    <hyperlink ref="B52" r:id="rId8" display="http://www.icco.org/about-us/international-cocoa-agreements/cat_view/30-related-documents/37-fair-trade-organic-cocoa.html"/>
    <hyperlink ref="B55" r:id="rId9" display="http://www.kakaoforum.de/fileadmin/user_uploads/Zusammenfassung_CCE_Studie_Deutsch_19_02_2014.pdf"/>
    <hyperlink ref="B60" r:id="rId10" display="http://www.theigc.org/wp-content/uploads/2015/02/Hainmueller-Et-Al-2011-Working-Paper.pdf"/>
    <hyperlink ref="B63" r:id="rId11" display="http://fairtradekookboek.files.wordpress.com/2013/12/apiss-fairtradeinghanaiancocoa.pdf"/>
    <hyperlink ref="B68" r:id="rId12" display="http://www.cocoainitiative.org/en/documents-manager/english/50-hazardous-activity-framework-for-ghana-2008/file"/>
  </hyperlinks>
  <printOptions/>
  <pageMargins left="0.75" right="0.75" top="1" bottom="1" header="0.5" footer="0.5"/>
  <pageSetup orientation="portrait" paperSize="9"/>
  <legacy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Barometer Consotrium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Cocoa Barometer 2015 Support Database</dc:title>
  <dc:subject/>
  <dc:creator>Antonie Fountain &amp; Friedel Hütz-Adams</dc:creator>
  <cp:keywords/>
  <dc:description/>
  <cp:lastModifiedBy>Antonie Fountain</cp:lastModifiedBy>
  <dcterms:created xsi:type="dcterms:W3CDTF">2014-05-12T22:24:48Z</dcterms:created>
  <dcterms:modified xsi:type="dcterms:W3CDTF">2015-03-30T21:25:05Z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